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5"/>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37" i="10" l="1"/>
  <c r="F469" i="1" l="1"/>
  <c r="F110" i="1" l="1"/>
  <c r="K268" i="1"/>
  <c r="H233" i="1"/>
  <c r="F120" i="1" l="1"/>
  <c r="F126" i="1"/>
  <c r="H207" i="1" l="1"/>
  <c r="H225" i="1"/>
  <c r="H243" i="1"/>
  <c r="F243" i="1"/>
  <c r="H415" i="1" l="1"/>
  <c r="G198" i="1"/>
  <c r="G197" i="1"/>
  <c r="F197" i="1"/>
  <c r="F215" i="1"/>
  <c r="F185" i="1"/>
  <c r="H414" i="1"/>
  <c r="B38" i="12" l="1"/>
  <c r="B37" i="12"/>
  <c r="B19" i="12"/>
  <c r="B20" i="12"/>
  <c r="C20" i="12" s="1"/>
  <c r="B11" i="12"/>
  <c r="C11" i="12" s="1"/>
  <c r="B10" i="12"/>
  <c r="F5" i="13"/>
  <c r="F8" i="13"/>
  <c r="F29" i="13"/>
  <c r="F16" i="13"/>
  <c r="F7" i="13"/>
  <c r="F13" i="13"/>
  <c r="F15" i="13"/>
  <c r="F14" i="13"/>
  <c r="H226" i="1"/>
  <c r="H244" i="1"/>
  <c r="H208" i="1"/>
  <c r="I595" i="1"/>
  <c r="H368" i="1"/>
  <c r="I604" i="1"/>
  <c r="F296" i="1"/>
  <c r="G215" i="1"/>
  <c r="H48" i="1"/>
  <c r="F50" i="1"/>
  <c r="H255" i="1"/>
  <c r="F9" i="1"/>
  <c r="H12" i="1"/>
  <c r="F198" i="1" l="1"/>
  <c r="F440" i="1"/>
  <c r="F459" i="1" s="1"/>
  <c r="H135" i="1" l="1"/>
  <c r="H155" i="1"/>
  <c r="H157" i="1"/>
  <c r="H22" i="1"/>
  <c r="G40" i="1" l="1"/>
  <c r="G158" i="1"/>
  <c r="G97" i="1"/>
  <c r="G12" i="1"/>
  <c r="F12" i="1"/>
  <c r="E10" i="13" l="1"/>
  <c r="D9" i="13"/>
  <c r="D11" i="13"/>
  <c r="D38" i="14" l="1"/>
  <c r="D26" i="14"/>
  <c r="D7" i="14"/>
  <c r="E6" i="14"/>
  <c r="E5" i="14"/>
  <c r="H378" i="1" l="1"/>
  <c r="G276" i="1" l="1"/>
  <c r="F276" i="1"/>
  <c r="I279" i="1"/>
  <c r="G333" i="1"/>
  <c r="J333" i="1"/>
  <c r="I333" i="1"/>
  <c r="F333" i="1"/>
  <c r="G533" i="1"/>
  <c r="G532" i="1"/>
  <c r="G528" i="1"/>
  <c r="G527" i="1"/>
  <c r="G521" i="1"/>
  <c r="I611" i="1"/>
  <c r="H611" i="1"/>
  <c r="G611" i="1"/>
  <c r="F611" i="1"/>
  <c r="G613" i="1"/>
  <c r="F613" i="1"/>
  <c r="G612" i="1"/>
  <c r="F612" i="1"/>
  <c r="J604" i="1"/>
  <c r="H604" i="1"/>
  <c r="H585" i="1"/>
  <c r="H582" i="1"/>
  <c r="G582" i="1"/>
  <c r="F582" i="1"/>
  <c r="H580" i="1"/>
  <c r="F580" i="1"/>
  <c r="H579" i="1"/>
  <c r="G579" i="1"/>
  <c r="F579" i="1"/>
  <c r="G578" i="1"/>
  <c r="H575" i="1"/>
  <c r="I244" i="1"/>
  <c r="J595" i="1"/>
  <c r="J594" i="1"/>
  <c r="J591" i="1" l="1"/>
  <c r="I591" i="1"/>
  <c r="H591" i="1"/>
  <c r="I594" i="1"/>
  <c r="J593" i="1"/>
  <c r="H595" i="1"/>
  <c r="J592" i="1"/>
  <c r="I592" i="1"/>
  <c r="H592" i="1"/>
  <c r="H319" i="1"/>
  <c r="G319" i="1"/>
  <c r="F319" i="1"/>
  <c r="K317" i="1"/>
  <c r="J317" i="1"/>
  <c r="I317" i="1"/>
  <c r="H317" i="1"/>
  <c r="F317" i="1"/>
  <c r="H315" i="1"/>
  <c r="G315" i="1"/>
  <c r="F315" i="1"/>
  <c r="I314" i="1"/>
  <c r="I301" i="1"/>
  <c r="I298" i="1"/>
  <c r="H298" i="1"/>
  <c r="I295" i="1"/>
  <c r="I319" i="1"/>
  <c r="I300" i="1"/>
  <c r="G300" i="1"/>
  <c r="F300" i="1"/>
  <c r="I281" i="1"/>
  <c r="G281" i="1"/>
  <c r="F281" i="1"/>
  <c r="H284" i="1"/>
  <c r="K303" i="1"/>
  <c r="H303" i="1"/>
  <c r="G303" i="1"/>
  <c r="F303" i="1"/>
  <c r="K322" i="1"/>
  <c r="H322" i="1"/>
  <c r="G322" i="1"/>
  <c r="F322" i="1"/>
  <c r="I321" i="1"/>
  <c r="H321" i="1"/>
  <c r="I302" i="1"/>
  <c r="H302" i="1"/>
  <c r="H283" i="1"/>
  <c r="J320" i="1"/>
  <c r="I320" i="1"/>
  <c r="H320" i="1"/>
  <c r="J301" i="1"/>
  <c r="H301" i="1"/>
  <c r="F298" i="1"/>
  <c r="G298" i="1"/>
  <c r="G317" i="1"/>
  <c r="J315" i="1"/>
  <c r="I315" i="1"/>
  <c r="J296" i="1"/>
  <c r="I296" i="1"/>
  <c r="H296" i="1"/>
  <c r="G296" i="1"/>
  <c r="J314" i="1"/>
  <c r="H314" i="1"/>
  <c r="J295" i="1"/>
  <c r="H295" i="1"/>
  <c r="K295" i="1" l="1"/>
  <c r="I287" i="1"/>
  <c r="G287" i="1"/>
  <c r="F287" i="1"/>
  <c r="J282" i="1"/>
  <c r="I282" i="1"/>
  <c r="H282" i="1"/>
  <c r="G282" i="1"/>
  <c r="F282" i="1"/>
  <c r="H279" i="1"/>
  <c r="G279" i="1"/>
  <c r="F279" i="1"/>
  <c r="J277" i="1"/>
  <c r="I277" i="1"/>
  <c r="H277" i="1"/>
  <c r="G277" i="1"/>
  <c r="F277" i="1"/>
  <c r="J276" i="1"/>
  <c r="I276" i="1"/>
  <c r="H276" i="1"/>
  <c r="H110" i="1"/>
  <c r="H159" i="1"/>
  <c r="H154" i="1"/>
  <c r="I359" i="1" l="1"/>
  <c r="G132" i="1" l="1"/>
  <c r="F14" i="1" l="1"/>
  <c r="F12" i="2" l="1"/>
  <c r="H655" i="1"/>
  <c r="H654" i="1"/>
  <c r="I543" i="1" l="1"/>
  <c r="I542" i="1"/>
  <c r="I541" i="1"/>
  <c r="H543" i="1"/>
  <c r="H542" i="1"/>
  <c r="H541" i="1"/>
  <c r="F543" i="1"/>
  <c r="F542" i="1"/>
  <c r="F541" i="1"/>
  <c r="H538" i="1"/>
  <c r="H537" i="1"/>
  <c r="H536" i="1"/>
  <c r="G523" i="1"/>
  <c r="G522" i="1"/>
  <c r="F528" i="1"/>
  <c r="F527" i="1"/>
  <c r="F526" i="1"/>
  <c r="H527" i="1"/>
  <c r="H528" i="1"/>
  <c r="H526" i="1"/>
  <c r="I360" i="1"/>
  <c r="I358" i="1"/>
  <c r="F533" i="1" l="1"/>
  <c r="F532" i="1"/>
  <c r="F531" i="1"/>
  <c r="K523" i="1" l="1"/>
  <c r="K522" i="1"/>
  <c r="K521" i="1"/>
  <c r="J523" i="1"/>
  <c r="J522" i="1"/>
  <c r="J521" i="1"/>
  <c r="I528" i="1"/>
  <c r="I527" i="1"/>
  <c r="I526" i="1"/>
  <c r="I521" i="1"/>
  <c r="I523" i="1"/>
  <c r="I522" i="1"/>
  <c r="F523" i="1" l="1"/>
  <c r="F522" i="1"/>
  <c r="F521" i="1"/>
  <c r="H523" i="1"/>
  <c r="H522" i="1"/>
  <c r="H521" i="1"/>
  <c r="F499" i="1" l="1"/>
  <c r="F498" i="1"/>
  <c r="F233" i="1" l="1"/>
  <c r="F200" i="1" l="1"/>
  <c r="F44" i="1" l="1"/>
  <c r="K260" i="1" l="1"/>
  <c r="K261" i="1"/>
  <c r="K244" i="1"/>
  <c r="J244" i="1"/>
  <c r="G244" i="1"/>
  <c r="F244" i="1"/>
  <c r="K226" i="1"/>
  <c r="J226" i="1"/>
  <c r="I226" i="1"/>
  <c r="G226" i="1"/>
  <c r="F226" i="1"/>
  <c r="K208" i="1"/>
  <c r="J208" i="1"/>
  <c r="I208" i="1"/>
  <c r="G208" i="1"/>
  <c r="F208" i="1"/>
  <c r="K243" i="1"/>
  <c r="J243" i="1"/>
  <c r="I243" i="1"/>
  <c r="G243" i="1"/>
  <c r="K225" i="1"/>
  <c r="J225" i="1"/>
  <c r="I225" i="1"/>
  <c r="G225" i="1"/>
  <c r="F225" i="1"/>
  <c r="K207" i="1"/>
  <c r="J207" i="1"/>
  <c r="I207" i="1"/>
  <c r="G207" i="1"/>
  <c r="F207" i="1"/>
  <c r="G241" i="1"/>
  <c r="F241" i="1"/>
  <c r="G223" i="1"/>
  <c r="F223" i="1"/>
  <c r="G205" i="1"/>
  <c r="F205" i="1"/>
  <c r="K240" i="1"/>
  <c r="J240" i="1"/>
  <c r="I240" i="1"/>
  <c r="H240" i="1"/>
  <c r="G240" i="1"/>
  <c r="F240" i="1"/>
  <c r="K222" i="1"/>
  <c r="J222" i="1"/>
  <c r="I222" i="1"/>
  <c r="H222" i="1"/>
  <c r="G222" i="1"/>
  <c r="F222" i="1"/>
  <c r="K204" i="1"/>
  <c r="J204" i="1"/>
  <c r="I204" i="1"/>
  <c r="H204" i="1"/>
  <c r="G204" i="1"/>
  <c r="F204" i="1"/>
  <c r="K239" i="1"/>
  <c r="J239" i="1"/>
  <c r="I239" i="1"/>
  <c r="H239" i="1"/>
  <c r="G239" i="1"/>
  <c r="F239" i="1"/>
  <c r="K221" i="1"/>
  <c r="J221" i="1"/>
  <c r="I221" i="1"/>
  <c r="H221" i="1"/>
  <c r="G221" i="1"/>
  <c r="F221" i="1"/>
  <c r="K203" i="1"/>
  <c r="J203" i="1"/>
  <c r="I203" i="1"/>
  <c r="H203" i="1"/>
  <c r="G203" i="1"/>
  <c r="F203" i="1"/>
  <c r="I238" i="1"/>
  <c r="H238" i="1"/>
  <c r="I220" i="1"/>
  <c r="H220" i="1"/>
  <c r="I202" i="1"/>
  <c r="H202" i="1"/>
  <c r="F202" i="1"/>
  <c r="I236" i="1"/>
  <c r="G236" i="1"/>
  <c r="F236" i="1"/>
  <c r="I218" i="1"/>
  <c r="G218" i="1"/>
  <c r="F218" i="1"/>
  <c r="I200" i="1"/>
  <c r="G200" i="1"/>
  <c r="K198" i="1"/>
  <c r="J198" i="1"/>
  <c r="I198" i="1"/>
  <c r="H198" i="1"/>
  <c r="K216" i="1"/>
  <c r="I216" i="1"/>
  <c r="H216" i="1"/>
  <c r="G216" i="1"/>
  <c r="F216" i="1"/>
  <c r="K234" i="1"/>
  <c r="I234" i="1"/>
  <c r="H234" i="1"/>
  <c r="G234" i="1"/>
  <c r="F234" i="1"/>
  <c r="J234" i="1"/>
  <c r="J216" i="1"/>
  <c r="I233" i="1"/>
  <c r="G233" i="1"/>
  <c r="I215" i="1"/>
  <c r="H215" i="1"/>
  <c r="K197" i="1"/>
  <c r="J197" i="1"/>
  <c r="I197" i="1"/>
  <c r="H197" i="1"/>
  <c r="J360" i="1" l="1"/>
  <c r="H360" i="1" s="1"/>
  <c r="J359" i="1"/>
  <c r="H359" i="1" s="1"/>
  <c r="J358" i="1"/>
  <c r="H358" i="1" s="1"/>
  <c r="K284" i="1" l="1"/>
  <c r="G284" i="1"/>
  <c r="F284" i="1"/>
  <c r="I283" i="1"/>
  <c r="F10" i="1" l="1"/>
  <c r="H399" i="1" l="1"/>
  <c r="H388" i="1"/>
  <c r="H400" i="1"/>
  <c r="H397" i="1"/>
  <c r="H389" i="1"/>
  <c r="I185" i="1"/>
  <c r="K241" i="1"/>
  <c r="J241" i="1"/>
  <c r="I241" i="1"/>
  <c r="H241" i="1"/>
  <c r="K238" i="1"/>
  <c r="G238" i="1"/>
  <c r="F238" i="1"/>
  <c r="H236" i="1"/>
  <c r="K236" i="1"/>
  <c r="J236" i="1"/>
  <c r="H235" i="1"/>
  <c r="K233" i="1"/>
  <c r="J233" i="1"/>
  <c r="K223" i="1"/>
  <c r="J223" i="1"/>
  <c r="I223" i="1"/>
  <c r="H223" i="1"/>
  <c r="K220" i="1"/>
  <c r="G220" i="1"/>
  <c r="F220" i="1"/>
  <c r="K218" i="1"/>
  <c r="J218" i="1"/>
  <c r="H218" i="1"/>
  <c r="K215" i="1"/>
  <c r="J215" i="1"/>
  <c r="J96" i="1" l="1"/>
  <c r="K205" i="1"/>
  <c r="J205" i="1"/>
  <c r="I205" i="1"/>
  <c r="H205" i="1"/>
  <c r="J202" i="1"/>
  <c r="G202" i="1"/>
  <c r="F159" i="1" l="1"/>
  <c r="F117" i="1"/>
  <c r="F128" i="1"/>
  <c r="F127" i="1"/>
  <c r="F125" i="1"/>
  <c r="F123" i="1"/>
  <c r="F118" i="1"/>
  <c r="F101" i="1"/>
  <c r="F96" i="1"/>
  <c r="F78" i="1"/>
  <c r="F72" i="1"/>
  <c r="F68" i="1"/>
  <c r="F64" i="1"/>
  <c r="F63"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B2" i="14" l="1"/>
  <c r="A2" i="14"/>
  <c r="F33" i="13" l="1"/>
  <c r="C45" i="2" l="1"/>
  <c r="G51" i="1"/>
  <c r="F51" i="1"/>
  <c r="F40" i="2" l="1"/>
  <c r="D39" i="2"/>
  <c r="G655" i="1"/>
  <c r="F48" i="2"/>
  <c r="E48" i="2"/>
  <c r="D48" i="2"/>
  <c r="C48"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C111" i="2" s="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E118" i="2" s="1"/>
  <c r="L320" i="1"/>
  <c r="E119" i="2" s="1"/>
  <c r="L321" i="1"/>
  <c r="L322" i="1"/>
  <c r="L323" i="1"/>
  <c r="L324" i="1"/>
  <c r="L325" i="1"/>
  <c r="L326" i="1"/>
  <c r="L333" i="1"/>
  <c r="L334" i="1"/>
  <c r="L335" i="1"/>
  <c r="L260" i="1"/>
  <c r="L261" i="1"/>
  <c r="C132" i="2" s="1"/>
  <c r="L341" i="1"/>
  <c r="L342" i="1"/>
  <c r="L255" i="1"/>
  <c r="C130" i="2" s="1"/>
  <c r="L336" i="1"/>
  <c r="E130" i="2" s="1"/>
  <c r="C11" i="13"/>
  <c r="C10" i="13"/>
  <c r="C9" i="13"/>
  <c r="L361" i="1"/>
  <c r="B4" i="12"/>
  <c r="B36" i="12"/>
  <c r="B39" i="12" s="1"/>
  <c r="C36" i="12"/>
  <c r="C37" i="12" s="1"/>
  <c r="C40" i="12" s="1"/>
  <c r="B40" i="12"/>
  <c r="B27" i="12"/>
  <c r="C27" i="12"/>
  <c r="B31" i="12"/>
  <c r="C31" i="12"/>
  <c r="B9" i="12"/>
  <c r="B12" i="12" s="1"/>
  <c r="C12" i="12" s="1"/>
  <c r="C9" i="12"/>
  <c r="B18" i="12"/>
  <c r="B21" i="12" s="1"/>
  <c r="C21" i="12" s="1"/>
  <c r="C18"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F663" i="1" s="1"/>
  <c r="C40" i="10"/>
  <c r="F60" i="1"/>
  <c r="G60" i="1"/>
  <c r="H60" i="1"/>
  <c r="E56" i="2" s="1"/>
  <c r="I60" i="1"/>
  <c r="F56" i="2" s="1"/>
  <c r="F79" i="1"/>
  <c r="C57" i="2" s="1"/>
  <c r="F94" i="1"/>
  <c r="F111" i="1"/>
  <c r="G111" i="1"/>
  <c r="G112" i="1" s="1"/>
  <c r="H79" i="1"/>
  <c r="E57" i="2" s="1"/>
  <c r="H94" i="1"/>
  <c r="H111" i="1"/>
  <c r="I111" i="1"/>
  <c r="I112" i="1" s="1"/>
  <c r="J111" i="1"/>
  <c r="J112" i="1" s="1"/>
  <c r="F121" i="1"/>
  <c r="F136" i="1"/>
  <c r="G121" i="1"/>
  <c r="G136" i="1"/>
  <c r="H121" i="1"/>
  <c r="H136" i="1"/>
  <c r="H140" i="1" s="1"/>
  <c r="I121" i="1"/>
  <c r="I136" i="1"/>
  <c r="J121" i="1"/>
  <c r="J136" i="1"/>
  <c r="J140" i="1" s="1"/>
  <c r="F147" i="1"/>
  <c r="C85" i="2" s="1"/>
  <c r="F162" i="1"/>
  <c r="G147" i="1"/>
  <c r="G162" i="1"/>
  <c r="H147" i="1"/>
  <c r="H162" i="1"/>
  <c r="I147" i="1"/>
  <c r="I162" i="1"/>
  <c r="I169" i="1" s="1"/>
  <c r="L250" i="1"/>
  <c r="L332" i="1"/>
  <c r="L254" i="1"/>
  <c r="L268" i="1"/>
  <c r="C142" i="2" s="1"/>
  <c r="L269" i="1"/>
  <c r="C143" i="2" s="1"/>
  <c r="L349" i="1"/>
  <c r="E142" i="2" s="1"/>
  <c r="L350" i="1"/>
  <c r="E143" i="2" s="1"/>
  <c r="I665" i="1"/>
  <c r="I670" i="1"/>
  <c r="I669" i="1"/>
  <c r="C42" i="10"/>
  <c r="L374" i="1"/>
  <c r="L375" i="1"/>
  <c r="L376" i="1"/>
  <c r="L377" i="1"/>
  <c r="L378" i="1"/>
  <c r="L379" i="1"/>
  <c r="L380" i="1"/>
  <c r="B2" i="10"/>
  <c r="L344" i="1"/>
  <c r="E134" i="2" s="1"/>
  <c r="L345" i="1"/>
  <c r="E135" i="2" s="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3" i="2"/>
  <c r="E113" i="2"/>
  <c r="D115" i="2"/>
  <c r="F115" i="2"/>
  <c r="G115" i="2"/>
  <c r="E123" i="2"/>
  <c r="F128" i="2"/>
  <c r="G128" i="2"/>
  <c r="D134" i="2"/>
  <c r="D144" i="2" s="1"/>
  <c r="F134" i="2"/>
  <c r="K419" i="1"/>
  <c r="K427" i="1"/>
  <c r="K433" i="1"/>
  <c r="L263" i="1"/>
  <c r="C135" i="2" s="1"/>
  <c r="L264" i="1"/>
  <c r="C136" i="2" s="1"/>
  <c r="L265"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G460" i="1"/>
  <c r="H460" i="1"/>
  <c r="I470"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L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30" i="1"/>
  <c r="G643" i="1"/>
  <c r="G644" i="1"/>
  <c r="G650" i="1"/>
  <c r="G652" i="1"/>
  <c r="H652" i="1"/>
  <c r="G653" i="1"/>
  <c r="H653" i="1"/>
  <c r="G654" i="1"/>
  <c r="C32" i="10" l="1"/>
  <c r="C19" i="12"/>
  <c r="C22" i="12" s="1"/>
  <c r="B22" i="12"/>
  <c r="C10" i="12"/>
  <c r="C13" i="12" s="1"/>
  <c r="B13" i="12"/>
  <c r="A40" i="12"/>
  <c r="E78" i="2"/>
  <c r="E81" i="2" s="1"/>
  <c r="E122" i="2"/>
  <c r="L570" i="1"/>
  <c r="G192" i="1"/>
  <c r="F112" i="1"/>
  <c r="C122" i="2"/>
  <c r="C12" i="10"/>
  <c r="E111" i="2"/>
  <c r="H52" i="1"/>
  <c r="H619" i="1" s="1"/>
  <c r="J619" i="1" s="1"/>
  <c r="J552" i="1"/>
  <c r="H169" i="1"/>
  <c r="L401" i="1"/>
  <c r="C139" i="2" s="1"/>
  <c r="L393" i="1"/>
  <c r="C138" i="2" s="1"/>
  <c r="J643" i="1"/>
  <c r="E120" i="2"/>
  <c r="J651" i="1"/>
  <c r="F461" i="1"/>
  <c r="H639" i="1" s="1"/>
  <c r="J639" i="1" s="1"/>
  <c r="H192" i="1"/>
  <c r="E121" i="2"/>
  <c r="I408" i="1"/>
  <c r="E85" i="2"/>
  <c r="E91" i="2" s="1"/>
  <c r="I552" i="1"/>
  <c r="L351" i="1"/>
  <c r="I571" i="1"/>
  <c r="I545" i="1"/>
  <c r="G461" i="1"/>
  <c r="H640" i="1" s="1"/>
  <c r="J640" i="1" s="1"/>
  <c r="E125" i="2"/>
  <c r="E112" i="2"/>
  <c r="H552" i="1"/>
  <c r="C125" i="2"/>
  <c r="K571" i="1"/>
  <c r="L565" i="1"/>
  <c r="H571" i="1"/>
  <c r="I452" i="1"/>
  <c r="L433" i="1"/>
  <c r="F130" i="2"/>
  <c r="F144" i="2" s="1"/>
  <c r="F145" i="2" s="1"/>
  <c r="C26" i="10"/>
  <c r="D91" i="2"/>
  <c r="K598" i="1"/>
  <c r="G647" i="1" s="1"/>
  <c r="F571" i="1"/>
  <c r="L560" i="1"/>
  <c r="L539" i="1"/>
  <c r="L427" i="1"/>
  <c r="F169" i="1"/>
  <c r="H112" i="1"/>
  <c r="L614" i="1"/>
  <c r="L529" i="1"/>
  <c r="D81" i="2"/>
  <c r="E132" i="2"/>
  <c r="E144" i="2" s="1"/>
  <c r="G552" i="1"/>
  <c r="C19" i="10"/>
  <c r="C35" i="10"/>
  <c r="E114" i="2"/>
  <c r="C120" i="2"/>
  <c r="J571" i="1"/>
  <c r="H461" i="1"/>
  <c r="H641" i="1" s="1"/>
  <c r="J641" i="1" s="1"/>
  <c r="L270" i="1"/>
  <c r="K605" i="1"/>
  <c r="G648" i="1" s="1"/>
  <c r="L544" i="1"/>
  <c r="L382" i="1"/>
  <c r="C114" i="2"/>
  <c r="F78" i="2"/>
  <c r="F81" i="2" s="1"/>
  <c r="K551" i="1"/>
  <c r="A31" i="12"/>
  <c r="E103" i="2"/>
  <c r="C70" i="2"/>
  <c r="E62" i="2"/>
  <c r="E63" i="2" s="1"/>
  <c r="D31" i="2"/>
  <c r="H545" i="1"/>
  <c r="G545" i="1"/>
  <c r="K545" i="1"/>
  <c r="K549" i="1"/>
  <c r="L524" i="1"/>
  <c r="F552" i="1"/>
  <c r="K550" i="1"/>
  <c r="J545" i="1"/>
  <c r="K503" i="1"/>
  <c r="I460" i="1"/>
  <c r="G22" i="13"/>
  <c r="C22" i="13" s="1"/>
  <c r="C29" i="10"/>
  <c r="G662" i="1"/>
  <c r="C11" i="10"/>
  <c r="L419" i="1"/>
  <c r="I369" i="1"/>
  <c r="H634" i="1" s="1"/>
  <c r="J634" i="1" s="1"/>
  <c r="H662" i="1"/>
  <c r="E124" i="2"/>
  <c r="C17" i="10"/>
  <c r="L309" i="1"/>
  <c r="E25" i="14" s="1"/>
  <c r="F338" i="1"/>
  <c r="F352" i="1" s="1"/>
  <c r="L328" i="1"/>
  <c r="E37" i="14" s="1"/>
  <c r="K338" i="1"/>
  <c r="K352" i="1" s="1"/>
  <c r="J338" i="1"/>
  <c r="J352" i="1" s="1"/>
  <c r="C13" i="10"/>
  <c r="G338" i="1"/>
  <c r="G352" i="1" s="1"/>
  <c r="L290" i="1"/>
  <c r="E109" i="2"/>
  <c r="J617" i="1"/>
  <c r="C25" i="10"/>
  <c r="I25" i="13"/>
  <c r="C25" i="13" s="1"/>
  <c r="C131" i="2"/>
  <c r="L256" i="1"/>
  <c r="G156" i="2"/>
  <c r="C91" i="2"/>
  <c r="D62" i="2"/>
  <c r="D63" i="2" s="1"/>
  <c r="D50" i="2"/>
  <c r="E31" i="2"/>
  <c r="C18" i="2"/>
  <c r="D18" i="13"/>
  <c r="C18" i="13" s="1"/>
  <c r="E13" i="13"/>
  <c r="C13" i="13" s="1"/>
  <c r="D18" i="2"/>
  <c r="I446" i="1"/>
  <c r="G642" i="1" s="1"/>
  <c r="F18" i="2"/>
  <c r="G164" i="2"/>
  <c r="G161" i="2"/>
  <c r="G157" i="2"/>
  <c r="C78" i="2"/>
  <c r="H408" i="1"/>
  <c r="H644" i="1" s="1"/>
  <c r="J644" i="1" s="1"/>
  <c r="G408" i="1"/>
  <c r="H645" i="1" s="1"/>
  <c r="J655" i="1"/>
  <c r="G645" i="1"/>
  <c r="D127" i="2"/>
  <c r="D128" i="2" s="1"/>
  <c r="D145" i="2" s="1"/>
  <c r="G661" i="1"/>
  <c r="H661" i="1"/>
  <c r="F661" i="1"/>
  <c r="L362" i="1"/>
  <c r="G472" i="1" s="1"/>
  <c r="C21" i="10"/>
  <c r="D15" i="13"/>
  <c r="C15" i="13" s="1"/>
  <c r="C119" i="2"/>
  <c r="C112" i="2"/>
  <c r="L247" i="1"/>
  <c r="D37" i="14" s="1"/>
  <c r="F37" i="14" s="1"/>
  <c r="F36" i="14" s="1"/>
  <c r="K257" i="1"/>
  <c r="K271" i="1" s="1"/>
  <c r="C20" i="10"/>
  <c r="C18" i="10"/>
  <c r="D6" i="13"/>
  <c r="C6" i="13" s="1"/>
  <c r="J257" i="1"/>
  <c r="J271" i="1" s="1"/>
  <c r="I257" i="1"/>
  <c r="I271" i="1" s="1"/>
  <c r="H257" i="1"/>
  <c r="H271" i="1" s="1"/>
  <c r="F257" i="1"/>
  <c r="F271" i="1" s="1"/>
  <c r="G649" i="1"/>
  <c r="J649" i="1" s="1"/>
  <c r="F662" i="1"/>
  <c r="H647" i="1"/>
  <c r="C124" i="2"/>
  <c r="C123" i="2"/>
  <c r="C121" i="2"/>
  <c r="L211" i="1"/>
  <c r="C15" i="10"/>
  <c r="C118" i="2"/>
  <c r="C110" i="2"/>
  <c r="C56" i="2"/>
  <c r="F192" i="1"/>
  <c r="G81" i="2"/>
  <c r="C62" i="2"/>
  <c r="G624" i="1"/>
  <c r="K500" i="1"/>
  <c r="H338" i="1"/>
  <c r="H352" i="1" s="1"/>
  <c r="D19" i="13"/>
  <c r="C19" i="13" s="1"/>
  <c r="D14" i="13"/>
  <c r="C14" i="13" s="1"/>
  <c r="D29" i="13"/>
  <c r="C29" i="13" s="1"/>
  <c r="D12" i="13"/>
  <c r="C12" i="13" s="1"/>
  <c r="D5" i="13"/>
  <c r="C5" i="13" s="1"/>
  <c r="E8" i="13"/>
  <c r="C8" i="13" s="1"/>
  <c r="G257" i="1"/>
  <c r="G271" i="1" s="1"/>
  <c r="C16" i="10"/>
  <c r="D17" i="13"/>
  <c r="C17" i="13" s="1"/>
  <c r="D7" i="13"/>
  <c r="C7" i="13" s="1"/>
  <c r="E16" i="13"/>
  <c r="C16" i="13" s="1"/>
  <c r="C10" i="10"/>
  <c r="C109" i="2"/>
  <c r="L229" i="1"/>
  <c r="D25" i="14" s="1"/>
  <c r="L337" i="1"/>
  <c r="F62" i="2"/>
  <c r="F63" i="2" s="1"/>
  <c r="C23" i="10"/>
  <c r="G163" i="2"/>
  <c r="G162" i="2"/>
  <c r="G160" i="2"/>
  <c r="G159" i="2"/>
  <c r="G158" i="2"/>
  <c r="G103" i="2"/>
  <c r="F103" i="2"/>
  <c r="C103" i="2"/>
  <c r="F91" i="2"/>
  <c r="E50" i="2"/>
  <c r="C50" i="2"/>
  <c r="F31" i="2"/>
  <c r="C31" i="2"/>
  <c r="E18" i="2"/>
  <c r="C24" i="10"/>
  <c r="H31" i="13"/>
  <c r="H33" i="13" s="1"/>
  <c r="I338" i="1"/>
  <c r="I352" i="1" s="1"/>
  <c r="J650" i="1"/>
  <c r="L407" i="1"/>
  <c r="C140" i="2" s="1"/>
  <c r="I192" i="1"/>
  <c r="J654" i="1"/>
  <c r="J653" i="1"/>
  <c r="G21" i="2"/>
  <c r="G31" i="2" s="1"/>
  <c r="J32" i="1"/>
  <c r="J434" i="1"/>
  <c r="F434" i="1"/>
  <c r="K434" i="1"/>
  <c r="G134" i="2" s="1"/>
  <c r="G144" i="2" s="1"/>
  <c r="G145" i="2" s="1"/>
  <c r="G31" i="13"/>
  <c r="J193" i="1"/>
  <c r="G169" i="1"/>
  <c r="G140" i="1"/>
  <c r="F140" i="1"/>
  <c r="G63" i="2"/>
  <c r="J618" i="1"/>
  <c r="G42" i="2"/>
  <c r="G50" i="2" s="1"/>
  <c r="J51" i="1"/>
  <c r="G16" i="2"/>
  <c r="G18" i="2" s="1"/>
  <c r="J19" i="1"/>
  <c r="G621" i="1" s="1"/>
  <c r="F545" i="1"/>
  <c r="H434" i="1"/>
  <c r="D103" i="2"/>
  <c r="I140" i="1"/>
  <c r="A22" i="12"/>
  <c r="J652" i="1"/>
  <c r="G571" i="1"/>
  <c r="I434" i="1"/>
  <c r="G434" i="1"/>
  <c r="I663" i="1"/>
  <c r="C141" i="2" l="1"/>
  <c r="A13" i="12"/>
  <c r="G636" i="1"/>
  <c r="I472" i="1"/>
  <c r="F25" i="14"/>
  <c r="F24" i="14" s="1"/>
  <c r="G646" i="1"/>
  <c r="J468" i="1"/>
  <c r="D5" i="14"/>
  <c r="F5" i="14" s="1"/>
  <c r="D6" i="14"/>
  <c r="F6" i="14" s="1"/>
  <c r="J647" i="1"/>
  <c r="H635" i="1"/>
  <c r="G474" i="1"/>
  <c r="L434" i="1"/>
  <c r="J472" i="1" s="1"/>
  <c r="L571" i="1"/>
  <c r="C144" i="2"/>
  <c r="C27" i="10"/>
  <c r="C28" i="10" s="1"/>
  <c r="D23" i="10" s="1"/>
  <c r="I461" i="1"/>
  <c r="H642" i="1" s="1"/>
  <c r="H193" i="1"/>
  <c r="L545" i="1"/>
  <c r="C36" i="10"/>
  <c r="L408" i="1"/>
  <c r="G637" i="1" s="1"/>
  <c r="E128" i="2"/>
  <c r="G33" i="13"/>
  <c r="D51" i="2"/>
  <c r="E115" i="2"/>
  <c r="E51" i="2"/>
  <c r="D104" i="2"/>
  <c r="J642" i="1"/>
  <c r="I33" i="13"/>
  <c r="C39" i="10"/>
  <c r="K552" i="1"/>
  <c r="C81" i="2"/>
  <c r="F104" i="2"/>
  <c r="E104" i="2"/>
  <c r="J645" i="1"/>
  <c r="I662" i="1"/>
  <c r="G24" i="14"/>
  <c r="H24" i="14" s="1"/>
  <c r="I24" i="14" s="1"/>
  <c r="H660" i="1"/>
  <c r="H664" i="1" s="1"/>
  <c r="H667" i="1" s="1"/>
  <c r="L338" i="1"/>
  <c r="L352" i="1" s="1"/>
  <c r="G51" i="2"/>
  <c r="E33" i="13"/>
  <c r="D35" i="13" s="1"/>
  <c r="C63" i="2"/>
  <c r="I193" i="1"/>
  <c r="G630" i="1" s="1"/>
  <c r="J630" i="1" s="1"/>
  <c r="F193" i="1"/>
  <c r="G104" i="2"/>
  <c r="G635" i="1"/>
  <c r="J635" i="1" s="1"/>
  <c r="I661" i="1"/>
  <c r="G36" i="14"/>
  <c r="H36" i="14" s="1"/>
  <c r="I36" i="14" s="1"/>
  <c r="H648" i="1"/>
  <c r="J648" i="1" s="1"/>
  <c r="G660" i="1"/>
  <c r="G664" i="1" s="1"/>
  <c r="G672" i="1" s="1"/>
  <c r="C5" i="10" s="1"/>
  <c r="C115" i="2"/>
  <c r="L257" i="1"/>
  <c r="L271" i="1" s="1"/>
  <c r="G4" i="14"/>
  <c r="C128" i="2"/>
  <c r="F660" i="1"/>
  <c r="F664" i="1" s="1"/>
  <c r="F672" i="1" s="1"/>
  <c r="C4" i="10" s="1"/>
  <c r="D31" i="13"/>
  <c r="C31" i="13" s="1"/>
  <c r="C51" i="2"/>
  <c r="G631" i="1"/>
  <c r="G193" i="1"/>
  <c r="G626" i="1"/>
  <c r="J52" i="1"/>
  <c r="H621" i="1" s="1"/>
  <c r="J621" i="1" s="1"/>
  <c r="C38" i="10"/>
  <c r="I48" i="1" l="1"/>
  <c r="I474" i="1"/>
  <c r="I476" i="1" s="1"/>
  <c r="H625" i="1" s="1"/>
  <c r="H636" i="1"/>
  <c r="J636" i="1"/>
  <c r="H637" i="1"/>
  <c r="J637" i="1" s="1"/>
  <c r="J470" i="1"/>
  <c r="H631" i="1"/>
  <c r="J631" i="1" s="1"/>
  <c r="G629" i="1"/>
  <c r="H468" i="1"/>
  <c r="G628" i="1"/>
  <c r="G468" i="1"/>
  <c r="F4" i="14"/>
  <c r="H4" i="14" s="1"/>
  <c r="I4" i="14" s="1"/>
  <c r="G638" i="1"/>
  <c r="G633" i="1"/>
  <c r="H472" i="1"/>
  <c r="H646" i="1"/>
  <c r="J646" i="1" s="1"/>
  <c r="E145" i="2"/>
  <c r="C104" i="2"/>
  <c r="G627" i="1"/>
  <c r="F468" i="1"/>
  <c r="G632" i="1"/>
  <c r="F472" i="1"/>
  <c r="H672" i="1"/>
  <c r="C6" i="10" s="1"/>
  <c r="G667" i="1"/>
  <c r="I660" i="1"/>
  <c r="I664" i="1" s="1"/>
  <c r="I672" i="1" s="1"/>
  <c r="C7" i="10" s="1"/>
  <c r="C145" i="2"/>
  <c r="F667" i="1"/>
  <c r="D25" i="10"/>
  <c r="D22" i="10"/>
  <c r="D18" i="10"/>
  <c r="D27" i="10"/>
  <c r="D15" i="10"/>
  <c r="D21" i="10"/>
  <c r="D24" i="10"/>
  <c r="D20" i="10"/>
  <c r="D11" i="10"/>
  <c r="D12" i="10"/>
  <c r="D13" i="10"/>
  <c r="D17" i="10"/>
  <c r="D19" i="10"/>
  <c r="D10" i="10"/>
  <c r="D26" i="10"/>
  <c r="C30" i="10"/>
  <c r="D16" i="10"/>
  <c r="D33" i="13"/>
  <c r="D36" i="13" s="1"/>
  <c r="C41" i="10"/>
  <c r="D38" i="10" s="1"/>
  <c r="F47" i="2" l="1"/>
  <c r="F50" i="2" s="1"/>
  <c r="F51" i="2" s="1"/>
  <c r="I51" i="1"/>
  <c r="H470" i="1"/>
  <c r="H629" i="1"/>
  <c r="J629" i="1" s="1"/>
  <c r="H628" i="1"/>
  <c r="J628" i="1" s="1"/>
  <c r="G470" i="1"/>
  <c r="G476" i="1" s="1"/>
  <c r="H623" i="1" s="1"/>
  <c r="J623" i="1" s="1"/>
  <c r="J474" i="1"/>
  <c r="J476" i="1" s="1"/>
  <c r="H626" i="1" s="1"/>
  <c r="J626" i="1" s="1"/>
  <c r="H638" i="1"/>
  <c r="J638" i="1" s="1"/>
  <c r="H474" i="1"/>
  <c r="H633" i="1"/>
  <c r="J633" i="1" s="1"/>
  <c r="F470" i="1"/>
  <c r="H627" i="1"/>
  <c r="J627" i="1" s="1"/>
  <c r="F474" i="1"/>
  <c r="H632" i="1"/>
  <c r="J632" i="1" s="1"/>
  <c r="I667" i="1"/>
  <c r="D28" i="10"/>
  <c r="D37" i="10"/>
  <c r="D36" i="10"/>
  <c r="D35" i="10"/>
  <c r="D40" i="10"/>
  <c r="D39" i="10"/>
  <c r="G625" i="1" l="1"/>
  <c r="J625" i="1" s="1"/>
  <c r="I52" i="1"/>
  <c r="H620" i="1" s="1"/>
  <c r="J620" i="1" s="1"/>
  <c r="H476" i="1"/>
  <c r="H624" i="1" s="1"/>
  <c r="J624" i="1" s="1"/>
  <c r="F476" i="1"/>
  <c r="H622" i="1" s="1"/>
  <c r="D41" i="10"/>
  <c r="H656" i="1" l="1"/>
  <c r="J622"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<sst xmlns="http://schemas.openxmlformats.org/spreadsheetml/2006/main" count="5500" uniqueCount="1612">
  <si>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</si>
  <si>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</si>
  <si>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</si>
  <si>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</si>
  <si>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</si>
  <si>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</si>
  <si>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</si>
  <si>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</si>
  <si>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</si>
  <si>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</si>
  <si>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</si>
  <si>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</si>
  <si>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</si>
  <si>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</si>
  <si>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</si>
  <si>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</si>
  <si>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</si>
  <si>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</si>
  <si>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</si>
  <si>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</si>
  <si>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</si>
  <si>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</si>
  <si>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</si>
  <si>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</si>
  <si>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</si>
  <si>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</si>
  <si>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</si>
  <si>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</si>
  <si>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</si>
  <si>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</si>
  <si>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</si>
  <si>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</si>
  <si>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</si>
  <si>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</si>
  <si>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</si>
  <si>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</si>
  <si>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</si>
  <si>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</si>
  <si>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</si>
  <si>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</si>
  <si>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</si>
  <si>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</si>
  <si>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</si>
  <si>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</si>
  <si>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</si>
  <si>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</si>
  <si>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</si>
  <si>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</si>
  <si>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</si>
  <si>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</si>
  <si>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</si>
  <si>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</si>
  <si>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</si>
  <si>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</si>
  <si>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</si>
  <si>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</si>
  <si>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</si>
  <si>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</si>
  <si>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</si>
  <si>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</si>
  <si>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</si>
  <si>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</si>
  <si>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</si>
  <si>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</si>
  <si>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</si>
  <si>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</si>
  <si>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</si>
  <si>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</si>
  <si>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</si>
  <si>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</si>
  <si>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</si>
  <si>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</si>
  <si>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</si>
  <si>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</si>
  <si>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</si>
  <si>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</si>
  <si>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</si>
  <si>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</si>
  <si>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</si>
  <si>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</si>
  <si>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</si>
  <si>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</si>
  <si>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</si>
  <si>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</si>
  <si>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</si>
  <si>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</si>
  <si>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</si>
  <si>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</si>
  <si>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</si>
  <si>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</si>
  <si>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</si>
  <si>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</si>
  <si>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</si>
  <si>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</si>
  <si>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</si>
  <si>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</si>
  <si>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</si>
  <si>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</si>
  <si>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</si>
  <si>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</si>
  <si>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</si>
  <si>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</si>
  <si>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</si>
  <si>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</si>
  <si>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</si>
  <si>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</si>
  <si>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</si>
  <si>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</si>
  <si>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</si>
  <si>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</si>
  <si>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</si>
  <si>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</si>
  <si>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</si>
  <si>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</si>
  <si>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</si>
  <si>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</si>
  <si>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</si>
  <si>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</si>
  <si>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</si>
  <si>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</si>
  <si>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</si>
  <si>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</si>
  <si>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</si>
  <si>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</si>
  <si>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</si>
  <si>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</si>
  <si>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</si>
  <si>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</si>
  <si>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</si>
  <si>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</si>
  <si>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</si>
  <si>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</si>
  <si>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</si>
  <si>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</si>
  <si>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</si>
  <si>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</si>
  <si>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</si>
  <si>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</si>
  <si>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</si>
  <si>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</si>
  <si>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</si>
  <si>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</si>
  <si>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</si>
  <si>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</si>
  <si>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</si>
  <si>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</si>
  <si>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</si>
  <si>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</si>
  <si>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</si>
  <si>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</si>
  <si>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</si>
  <si>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</si>
  <si>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</si>
  <si>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</si>
  <si>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</si>
  <si>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</si>
  <si>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</si>
  <si>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</si>
  <si>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</si>
  <si>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</si>
  <si>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</si>
  <si>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</si>
  <si>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</si>
  <si>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</si>
  <si>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</si>
  <si>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</si>
  <si>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</si>
  <si>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</si>
  <si>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</si>
  <si>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</si>
  <si>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</si>
  <si>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</si>
  <si>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</si>
  <si>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</si>
  <si>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</si>
  <si>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</si>
  <si>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</si>
  <si>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</si>
  <si>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</si>
  <si>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</si>
  <si>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</si>
  <si>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</si>
  <si>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</si>
  <si>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</si>
  <si>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</si>
  <si>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</si>
  <si>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</si>
  <si>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</si>
  <si>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</si>
  <si>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</si>
  <si>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</si>
  <si>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</si>
  <si>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</si>
  <si>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</si>
  <si>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</si>
  <si>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</si>
  <si>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</si>
  <si>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</si>
  <si>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</si>
  <si>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</si>
  <si>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</si>
  <si>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</si>
  <si>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</si>
  <si>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</si>
  <si>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</si>
  <si>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</si>
  <si>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</si>
  <si>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</si>
  <si>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</si>
  <si>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</si>
  <si>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</si>
  <si>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</si>
  <si>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</si>
  <si>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</si>
  <si>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</si>
  <si>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</si>
  <si>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</si>
  <si>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</si>
  <si>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</si>
  <si>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</si>
  <si>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</si>
  <si>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</si>
  <si>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</si>
  <si>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</si>
  <si>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</si>
  <si>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</si>
  <si>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</si>
  <si>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</si>
  <si>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</si>
  <si>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</si>
  <si>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</si>
  <si>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</si>
  <si>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</si>
  <si>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</si>
  <si>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</si>
  <si>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</si>
  <si>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</si>
  <si>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</si>
  <si>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</si>
  <si>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</si>
  <si>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</si>
  <si>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</si>
  <si>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</si>
  <si>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</si>
  <si>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</si>
  <si>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</si>
  <si>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</si>
  <si>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</si>
  <si>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</si>
  <si>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</si>
  <si>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</si>
  <si>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</si>
  <si>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</si>
  <si>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</si>
  <si>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</si>
  <si>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</si>
  <si>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</si>
  <si>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</si>
  <si>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</si>
  <si>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</si>
  <si>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</si>
  <si>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</si>
  <si>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</si>
  <si>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</si>
  <si>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</si>
  <si>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</si>
  <si>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</si>
  <si>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</si>
  <si>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</si>
  <si>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</si>
  <si>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</si>
  <si>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</si>
  <si>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</si>
  <si>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</si>
  <si>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</si>
  <si>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</si>
  <si>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</si>
  <si>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</si>
  <si>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</si>
  <si>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</si>
  <si>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</si>
  <si>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</si>
  <si>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</si>
  <si>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</si>
  <si>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</si>
  <si>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</si>
  <si>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</si>
  <si>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</si>
  <si>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</si>
  <si>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</si>
  <si>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</si>
  <si>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</si>
  <si>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</si>
  <si>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</si>
  <si>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</si>
  <si>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</si>
  <si>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</si>
  <si>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</si>
  <si>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</si>
  <si>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</si>
  <si>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</si>
  <si>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</si>
  <si>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</si>
  <si>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</si>
  <si>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</si>
  <si>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</si>
  <si>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</si>
  <si>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</si>
  <si>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</si>
  <si>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</si>
  <si>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</si>
  <si>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</si>
  <si>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</si>
  <si>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</si>
  <si>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</si>
  <si>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</si>
  <si>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</si>
  <si>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</si>
  <si>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</si>
  <si>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</si>
  <si>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</si>
  <si>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</si>
  <si>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</si>
  <si>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</si>
  <si>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</si>
  <si>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</si>
  <si>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</si>
  <si>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</si>
  <si>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</si>
  <si>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</si>
  <si>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</si>
  <si>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</si>
  <si>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</si>
  <si>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</si>
  <si>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</si>
  <si>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</si>
  <si>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</si>
  <si>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</si>
  <si>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</si>
  <si>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</si>
  <si>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</si>
  <si>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</si>
  <si>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</si>
  <si>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</si>
  <si>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</si>
  <si>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</si>
  <si>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</si>
  <si>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</si>
  <si>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</si>
  <si>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</si>
  <si>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</si>
  <si>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</si>
  <si>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</si>
  <si>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</si>
  <si>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</si>
  <si>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</si>
  <si>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</si>
  <si>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</si>
  <si>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</si>
  <si>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</si>
  <si>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</si>
  <si>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</si>
  <si>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</si>
  <si>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</si>
  <si>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</si>
  <si>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</si>
  <si>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</si>
  <si>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</si>
  <si>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</si>
  <si>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</si>
  <si>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</si>
  <si>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</si>
  <si>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</si>
  <si>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</si>
  <si>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</si>
  <si>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</si>
  <si>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</si>
  <si>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</si>
  <si>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</si>
  <si>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</si>
  <si>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</si>
  <si>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</si>
  <si>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</si>
  <si>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</si>
  <si>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</si>
  <si>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</si>
  <si>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</si>
  <si>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</si>
  <si>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</si>
  <si>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</si>
  <si>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</si>
  <si>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</si>
  <si>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</si>
  <si>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</si>
  <si>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</si>
  <si>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</si>
  <si>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</si>
  <si>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</si>
  <si>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</si>
  <si>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</si>
  <si>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</si>
  <si>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</si>
  <si>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</si>
  <si>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</si>
  <si>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</si>
  <si>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</si>
  <si>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</si>
  <si>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</si>
  <si>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</si>
  <si>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</si>
  <si>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</si>
  <si>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</si>
  <si>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</si>
  <si>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</si>
  <si>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</si>
  <si>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</si>
  <si>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</si>
  <si>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</si>
  <si>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</si>
  <si>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</si>
  <si>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</si>
  <si>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</si>
  <si>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</si>
  <si>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</si>
  <si>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</si>
  <si>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</si>
  <si>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</si>
  <si>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</si>
  <si>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</si>
  <si>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</si>
  <si>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</si>
  <si>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</si>
  <si>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</si>
  <si>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</si>
  <si>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</si>
  <si>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</si>
  <si>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</si>
  <si>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</si>
  <si>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</si>
  <si>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</si>
  <si>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</si>
  <si>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</si>
  <si>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</si>
  <si>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</si>
  <si>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</si>
  <si>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</si>
  <si>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</si>
  <si>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</si>
  <si>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</si>
  <si>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</si>
  <si>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</si>
  <si>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</si>
  <si>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</si>
  <si>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</si>
  <si>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</si>
  <si>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</si>
  <si>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</si>
  <si>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</si>
  <si>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</si>
  <si>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</si>
  <si>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</si>
  <si>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</si>
  <si>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</si>
  <si>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</si>
  <si>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</si>
  <si>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</si>
  <si>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</si>
  <si>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</si>
  <si>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</si>
  <si>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</si>
  <si>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</si>
  <si>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</si>
  <si>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</si>
  <si>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</si>
  <si>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</si>
  <si>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</si>
  <si>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</si>
  <si>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</si>
  <si>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</si>
  <si>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</si>
  <si>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</si>
  <si>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</si>
  <si>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</si>
  <si>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</si>
  <si>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</si>
  <si>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</si>
  <si>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</si>
  <si>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</si>
  <si>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</si>
  <si>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</si>
  <si>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</si>
  <si>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</si>
  <si>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</si>
  <si>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</si>
  <si>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</si>
  <si>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</si>
  <si>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</si>
  <si>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</si>
  <si>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</si>
  <si>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</si>
  <si>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</si>
  <si>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</si>
  <si>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</si>
  <si>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</si>
  <si>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</si>
  <si>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</si>
  <si>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</si>
  <si>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</si>
  <si>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</si>
  <si>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</si>
  <si>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</si>
  <si>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</si>
  <si>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</si>
  <si>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</si>
  <si>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</si>
  <si>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</si>
  <si>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</si>
  <si>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</si>
  <si>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</si>
  <si>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</si>
  <si>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</si>
  <si>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</si>
  <si>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</si>
  <si>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</si>
  <si>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</si>
  <si>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</si>
  <si>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</si>
  <si>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</si>
  <si>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</si>
  <si>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</si>
  <si>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</si>
  <si>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</si>
  <si>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</si>
  <si>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</si>
  <si>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</si>
  <si>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</si>
  <si>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</si>
  <si>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</si>
  <si>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</si>
  <si>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</si>
  <si>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</si>
  <si>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</si>
  <si>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</si>
  <si>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</si>
  <si>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</si>
  <si>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</si>
  <si>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</si>
  <si>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</si>
  <si>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</si>
  <si>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</si>
  <si>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</si>
  <si>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</si>
  <si>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</si>
  <si>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</si>
  <si>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</si>
  <si>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</si>
  <si>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</si>
  <si>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</si>
  <si>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</si>
  <si>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</si>
  <si>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</si>
  <si>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</si>
  <si>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</si>
  <si>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</si>
  <si>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</si>
  <si>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</si>
  <si>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</si>
  <si>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</si>
  <si>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</si>
  <si>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</si>
  <si>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</si>
  <si>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</si>
  <si>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</si>
  <si>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</si>
  <si>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</si>
  <si>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</si>
  <si>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</si>
  <si>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</si>
  <si>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</si>
  <si>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</si>
  <si>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</si>
  <si>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</si>
  <si>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</si>
  <si>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</si>
  <si>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</si>
  <si>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</si>
  <si>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</si>
  <si>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</si>
  <si>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</si>
  <si>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</si>
  <si>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</si>
  <si>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</si>
  <si>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</si>
  <si>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</si>
  <si>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</si>
  <si>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</si>
  <si>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</si>
  <si>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</si>
  <si>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</si>
  <si>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</si>
  <si>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</si>
  <si>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</si>
  <si>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</si>
  <si>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</si>
  <si>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</si>
  <si>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</si>
  <si>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</si>
  <si>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</si>
  <si>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</si>
  <si>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</si>
  <si>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</si>
  <si>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</si>
  <si>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</si>
  <si>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</si>
  <si>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</si>
  <si>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</si>
  <si>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</si>
  <si>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</si>
  <si>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</si>
  <si>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</si>
  <si>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</si>
  <si>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</si>
  <si>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</si>
  <si>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</si>
  <si>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</si>
  <si>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</si>
  <si>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</si>
  <si>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</si>
  <si>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</si>
  <si>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</si>
  <si>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</si>
  <si>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</si>
  <si>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</si>
  <si>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</si>
  <si>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</si>
  <si>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</si>
  <si>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</si>
  <si>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</si>
  <si>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</si>
  <si>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</si>
  <si>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</si>
  <si>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</si>
  <si>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</si>
  <si>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</si>
  <si>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</si>
  <si>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</si>
  <si>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</si>
  <si>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</si>
  <si>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</si>
  <si>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</si>
  <si>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</si>
  <si>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</si>
  <si>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</si>
  <si>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</si>
  <si>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</si>
  <si>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</si>
  <si>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</si>
  <si>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</si>
  <si>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</si>
  <si>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</si>
  <si>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</si>
  <si>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</si>
  <si>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</si>
  <si>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</si>
  <si>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</si>
  <si>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</si>
  <si>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</si>
  <si>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</si>
  <si>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</si>
  <si>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</si>
  <si>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</si>
  <si>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</si>
  <si>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</si>
  <si>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</si>
  <si>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</si>
  <si>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</si>
  <si>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</si>
  <si>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</si>
  <si>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</si>
  <si>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</si>
  <si>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</si>
  <si>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</si>
  <si>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</si>
  <si>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</si>
  <si>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</si>
  <si>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</si>
  <si>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</si>
  <si>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</si>
  <si>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</si>
  <si>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</si>
  <si>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</si>
  <si>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</si>
  <si>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</si>
  <si>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</si>
  <si>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</si>
  <si>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</si>
  <si>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</si>
  <si>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</si>
  <si>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</si>
  <si>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</si>
  <si>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</si>
  <si>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</si>
  <si>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</si>
  <si>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</si>
  <si>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</si>
  <si>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</si>
  <si>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</si>
  <si>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</si>
  <si>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</si>
  <si>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</si>
  <si>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</si>
  <si>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</si>
  <si>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</si>
  <si>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</si>
  <si>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</si>
  <si>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</si>
  <si>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</si>
  <si>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</si>
  <si>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</si>
  <si>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</si>
  <si>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</si>
  <si>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</si>
  <si>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</si>
  <si>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</si>
  <si>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</si>
  <si>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</si>
  <si>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</si>
  <si>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</si>
  <si>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</si>
  <si>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</si>
  <si>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</si>
  <si>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</si>
  <si>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</si>
  <si>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</si>
  <si>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</si>
  <si>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</si>
  <si>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</si>
  <si>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</si>
  <si>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</si>
  <si>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</si>
  <si>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</si>
  <si>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</si>
  <si>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</si>
  <si>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</si>
  <si>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</si>
  <si>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</si>
  <si>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</si>
  <si>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</si>
  <si>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</si>
  <si>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</si>
  <si>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</si>
  <si>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</si>
  <si>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</si>
  <si>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</si>
  <si>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</si>
  <si>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</si>
  <si>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</si>
  <si>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</si>
  <si>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</si>
  <si>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</si>
  <si>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</si>
  <si>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</si>
  <si>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</si>
  <si>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</si>
  <si>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</si>
  <si>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</si>
  <si>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</si>
  <si>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</si>
  <si>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</si>
  <si>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</si>
  <si>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</si>
  <si>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</si>
  <si>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</si>
  <si>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</si>
  <si>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</si>
  <si>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</si>
  <si>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</si>
  <si>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</si>
  <si>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</si>
  <si>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</si>
  <si>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</si>
  <si>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</si>
  <si>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</si>
  <si>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</si>
  <si>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</si>
  <si>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</si>
  <si>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</si>
  <si>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</si>
  <si>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</si>
  <si>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</si>
  <si>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</si>
  <si>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</si>
  <si>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</si>
  <si>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</si>
  <si>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</si>
  <si>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</si>
  <si>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</si>
  <si>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</si>
  <si>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</si>
  <si>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</si>
  <si>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</si>
  <si>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</si>
  <si>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</si>
  <si>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</si>
  <si>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</si>
  <si>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</si>
  <si>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</si>
  <si>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</si>
  <si>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</si>
  <si>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</si>
  <si>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</si>
  <si>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</si>
  <si>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</si>
  <si>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</si>
  <si>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</si>
  <si>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</si>
  <si>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</si>
  <si>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</si>
  <si>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</si>
  <si>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</si>
  <si>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</si>
  <si>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</si>
  <si>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</si>
  <si>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</si>
  <si>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</si>
  <si>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</si>
  <si>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</si>
  <si>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</si>
  <si>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</si>
  <si>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</si>
  <si>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</si>
  <si>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</si>
  <si>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</si>
  <si>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</si>
  <si>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</si>
  <si>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</si>
  <si>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</si>
  <si>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</si>
  <si>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</si>
  <si>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</si>
  <si>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</si>
  <si>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</si>
  <si>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</si>
  <si>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</si>
  <si>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</si>
  <si>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</si>
  <si>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</si>
  <si>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</si>
  <si>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</si>
  <si>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</si>
  <si>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</si>
  <si>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</si>
  <si>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</si>
  <si>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</si>
  <si>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</si>
  <si>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</si>
  <si>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</si>
  <si>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</si>
  <si>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</si>
  <si>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</si>
  <si>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</si>
  <si>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</si>
  <si>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</si>
  <si>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</si>
  <si>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</si>
  <si>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</si>
  <si>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</si>
  <si>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</si>
  <si>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</si>
  <si>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</si>
  <si>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</si>
  <si>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</si>
  <si>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</si>
  <si>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</si>
  <si>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</si>
  <si>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</si>
  <si>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</si>
  <si>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</si>
  <si>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</si>
  <si>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</si>
  <si>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</si>
  <si>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</si>
  <si>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</si>
  <si>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</si>
  <si>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</si>
  <si>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</si>
  <si>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</si>
  <si>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</si>
  <si>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</si>
  <si>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</si>
  <si>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</si>
  <si>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</si>
  <si>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</si>
  <si>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</si>
  <si>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</si>
  <si>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</si>
  <si>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</si>
  <si>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</si>
  <si>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</si>
  <si>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</si>
  <si>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</si>
  <si>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</si>
  <si>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</si>
  <si>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</si>
  <si>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</si>
  <si>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</si>
  <si>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</si>
  <si>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</si>
  <si>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</si>
  <si>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</si>
  <si>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</si>
  <si>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</si>
  <si>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</si>
  <si>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</si>
  <si>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</si>
  <si>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</si>
  <si>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</si>
  <si>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</si>
  <si>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</si>
  <si>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</si>
  <si>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</si>
  <si>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</si>
  <si>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</si>
  <si>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</si>
  <si>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</si>
  <si>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</si>
  <si>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</si>
  <si>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</si>
  <si>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</si>
  <si>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</si>
  <si>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</si>
  <si>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</si>
  <si>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</si>
  <si>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</si>
  <si>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</si>
  <si>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</si>
  <si>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</si>
  <si>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</si>
  <si>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</si>
  <si>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</si>
  <si>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</si>
  <si>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</si>
  <si>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</si>
  <si>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</si>
  <si>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</si>
  <si>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</si>
  <si>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</si>
  <si>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</si>
  <si>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</si>
  <si>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</si>
  <si>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</si>
  <si>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</si>
  <si>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</si>
  <si>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</si>
  <si>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</si>
  <si>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</si>
  <si>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</si>
  <si>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</si>
  <si>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</si>
  <si>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</si>
  <si>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</si>
  <si>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</si>
  <si>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</si>
  <si>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</si>
  <si>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</si>
  <si>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</si>
  <si>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</si>
  <si>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</si>
  <si>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</si>
  <si>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</si>
  <si>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</si>
  <si>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</si>
  <si>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</si>
  <si>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</si>
  <si>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</si>
  <si>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</si>
  <si>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</si>
  <si>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</si>
  <si>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</si>
  <si>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</si>
  <si>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</si>
  <si>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</si>
  <si>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</si>
  <si>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</si>
  <si>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</si>
  <si>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</si>
  <si>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</si>
  <si>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</si>
  <si>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</si>
  <si>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</si>
  <si>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</si>
  <si>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</si>
  <si>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</si>
  <si>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</si>
  <si>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</si>
  <si>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</si>
  <si>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</si>
  <si>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</si>
  <si>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</si>
  <si>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</si>
  <si>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</si>
  <si>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</si>
  <si>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</si>
  <si>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</si>
  <si>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</si>
  <si>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</si>
  <si>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</si>
  <si>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</si>
  <si>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</si>
  <si>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</si>
  <si>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</si>
  <si>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</si>
  <si>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</si>
  <si>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</si>
  <si>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</si>
  <si>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</si>
  <si>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</si>
  <si>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</si>
  <si>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</si>
  <si>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</si>
  <si>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</si>
  <si>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</si>
  <si>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</si>
  <si>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</si>
  <si>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</si>
  <si>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</si>
  <si>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</si>
  <si>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</si>
  <si>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</si>
  <si>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</si>
  <si>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</si>
  <si>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</si>
  <si>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</si>
  <si>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</si>
  <si>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</si>
  <si>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</si>
  <si>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</si>
  <si>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</si>
  <si>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</si>
  <si>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</si>
  <si>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</si>
  <si>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</si>
  <si>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</si>
  <si>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</si>
  <si>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</si>
  <si>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</si>
  <si>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</si>
  <si>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</si>
  <si>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</si>
  <si>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</si>
  <si>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</si>
  <si>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</si>
  <si>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</si>
  <si>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</si>
  <si>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</si>
  <si>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</si>
  <si>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</si>
  <si>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</si>
  <si>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</si>
  <si>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</si>
  <si>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</si>
  <si>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</si>
  <si>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</si>
  <si>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</si>
  <si>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</si>
  <si>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</si>
  <si>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</si>
  <si>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</si>
  <si>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</si>
  <si>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</si>
  <si>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</si>
  <si>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</si>
  <si>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</si>
  <si>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</si>
  <si>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</si>
  <si>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</si>
  <si>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</si>
  <si>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</si>
  <si>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</si>
  <si>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</si>
  <si>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</si>
  <si>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</si>
  <si>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</si>
  <si>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</si>
  <si>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</si>
  <si>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</si>
  <si>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</si>
  <si>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</si>
  <si>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</si>
  <si>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</si>
  <si>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</si>
  <si>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</si>
  <si>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</si>
  <si>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</si>
  <si>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</si>
  <si>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</si>
  <si>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</si>
  <si>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</si>
  <si>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</si>
  <si>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</si>
  <si>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</si>
  <si>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</si>
  <si>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</si>
  <si>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</si>
  <si>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</si>
  <si>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</si>
  <si>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</si>
  <si>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</si>
  <si>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</si>
  <si>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</si>
  <si>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</si>
  <si>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</si>
  <si>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</si>
  <si>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</si>
  <si>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</si>
  <si>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</si>
  <si>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</si>
  <si>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</si>
  <si>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</si>
  <si>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</si>
  <si>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</si>
  <si>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</si>
  <si>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</si>
  <si>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</si>
  <si>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</si>
  <si>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</si>
  <si>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</si>
  <si>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</si>
  <si>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</si>
  <si>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</si>
  <si>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</si>
  <si>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</si>
  <si>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</si>
  <si>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</si>
  <si>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</si>
  <si>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</si>
  <si>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</si>
  <si>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</si>
  <si>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</si>
  <si>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</si>
  <si>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</si>
  <si>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</si>
  <si>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</si>
  <si>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</si>
  <si>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</si>
  <si>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</si>
  <si>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</si>
  <si>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</si>
  <si>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</si>
  <si>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</si>
  <si>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</si>
  <si>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</si>
  <si>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</si>
  <si>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</si>
  <si>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</si>
  <si>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</si>
  <si>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</si>
  <si>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</si>
  <si>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</si>
  <si>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</si>
  <si>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</si>
  <si>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</si>
  <si>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</si>
  <si>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</si>
  <si>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</si>
  <si>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</si>
  <si>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</si>
  <si>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</si>
  <si>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</si>
  <si>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</si>
  <si>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</si>
  <si>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</si>
  <si>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</si>
  <si>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</si>
  <si>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</si>
  <si>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</si>
  <si>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</si>
  <si>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</si>
  <si>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</si>
  <si>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</si>
  <si>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</si>
  <si>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</si>
  <si>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</si>
  <si>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</si>
  <si>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</si>
  <si>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</si>
  <si>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</si>
  <si>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</si>
  <si>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</si>
  <si>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</si>
  <si>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</si>
  <si>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</si>
  <si>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</si>
  <si>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</si>
  <si>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</si>
  <si>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</si>
  <si>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</si>
  <si>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</si>
  <si>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</si>
  <si>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</si>
  <si>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</si>
  <si>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</si>
  <si>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</si>
  <si>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</si>
  <si>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</si>
  <si>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</si>
  <si>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</si>
  <si>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</si>
  <si>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</si>
  <si>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</si>
  <si>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</si>
  <si>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</si>
  <si>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</si>
  <si>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</si>
  <si>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</si>
  <si>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</si>
  <si>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</si>
  <si>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</si>
  <si>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</si>
  <si>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</si>
  <si>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</si>
  <si>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</si>
  <si>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</si>
  <si>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</si>
  <si>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</si>
  <si>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</si>
  <si>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</si>
  <si>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</si>
  <si>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</si>
  <si>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</si>
  <si>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</si>
  <si>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</si>
  <si>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</si>
  <si>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</si>
  <si>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</si>
  <si>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</si>
  <si>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</si>
  <si>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</si>
  <si>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</si>
  <si>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</si>
  <si>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</si>
  <si>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</si>
  <si>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</si>
  <si>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</si>
  <si>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</si>
  <si>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</si>
  <si>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</si>
  <si>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</si>
  <si>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</si>
  <si>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</si>
  <si>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</si>
  <si>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</si>
  <si>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</si>
  <si>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</si>
  <si>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</si>
  <si>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</si>
  <si>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</si>
  <si>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</si>
  <si>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</si>
  <si>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</si>
  <si>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</si>
  <si>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</si>
  <si>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</si>
  <si>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</si>
  <si>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</si>
  <si>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</si>
  <si>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</si>
  <si>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</si>
  <si>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</si>
  <si>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</si>
  <si>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</si>
  <si>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</si>
  <si>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</si>
  <si>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</si>
  <si>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</si>
  <si>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</si>
  <si>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</si>
  <si>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</si>
  <si>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</si>
  <si>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</si>
  <si>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</si>
  <si>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</si>
  <si>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</si>
  <si>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</si>
  <si>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</si>
  <si>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</si>
  <si>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</si>
  <si>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</si>
  <si>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</si>
  <si>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</si>
  <si>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</si>
  <si>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</si>
  <si>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</si>
  <si>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</si>
  <si>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</si>
  <si>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</si>
  <si>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</si>
  <si>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</si>
  <si>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</si>
  <si>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</si>
  <si>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</si>
  <si>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</si>
  <si>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</si>
  <si>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</si>
  <si>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</si>
  <si>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</si>
  <si>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</si>
  <si>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</si>
  <si>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</si>
  <si>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</si>
  <si>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</si>
  <si>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</si>
  <si>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</si>
  <si>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</si>
  <si>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</si>
  <si>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</si>
  <si>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</si>
  <si>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</si>
  <si>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</si>
  <si>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</si>
  <si>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</si>
  <si>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</si>
  <si>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</si>
  <si>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</si>
  <si>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</si>
  <si>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</si>
  <si>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</si>
  <si>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</si>
  <si>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</si>
  <si>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</si>
  <si>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</si>
  <si>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</si>
  <si>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</si>
  <si>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</si>
  <si>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</si>
  <si>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</si>
  <si>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</si>
  <si>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</si>
  <si>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</si>
  <si>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</si>
  <si>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</si>
  <si>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</si>
  <si>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</si>
  <si>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</si>
  <si>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</si>
  <si>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</si>
  <si>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</si>
  <si>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</si>
  <si>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</si>
  <si>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</si>
  <si>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</si>
  <si>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</si>
  <si>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</si>
  <si>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</si>
  <si>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</si>
  <si>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</si>
  <si>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</si>
  <si>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</si>
  <si>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</si>
  <si>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</si>
  <si>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</si>
  <si>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</si>
  <si>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</si>
  <si>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</si>
  <si>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</si>
  <si>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</si>
  <si>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</si>
  <si>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</si>
  <si>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</si>
  <si>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</si>
  <si>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</si>
  <si>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</si>
  <si>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</si>
  <si>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</si>
  <si>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</si>
  <si>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</si>
  <si>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</si>
  <si>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</si>
  <si>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</si>
  <si>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</si>
  <si>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</si>
  <si>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</si>
  <si>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</si>
  <si>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</si>
  <si>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</si>
  <si>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</si>
  <si>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</si>
  <si>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</si>
  <si>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</si>
  <si>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</si>
  <si>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</si>
  <si>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</si>
  <si>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</si>
  <si>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</si>
  <si>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</si>
  <si>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</si>
  <si>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</si>
  <si>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</si>
  <si>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</si>
  <si>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</si>
  <si>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</si>
  <si>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</si>
  <si>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</si>
  <si>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</si>
  <si>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</si>
  <si>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</si>
  <si>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</si>
  <si>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</si>
  <si>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</si>
  <si>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</si>
  <si>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</si>
  <si>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</si>
  <si>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</si>
  <si>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</si>
  <si>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</si>
  <si>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</si>
  <si>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</si>
  <si>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</si>
  <si>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</si>
  <si>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</si>
  <si>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</si>
  <si>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</si>
  <si>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</si>
  <si>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</si>
  <si>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</si>
  <si>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</si>
  <si>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</si>
  <si>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</si>
  <si>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</si>
  <si>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</si>
  <si>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</si>
  <si>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</si>
  <si>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</si>
  <si>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</si>
  <si>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</si>
  <si>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</si>
  <si>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</si>
  <si>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</si>
  <si>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</si>
  <si>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</si>
  <si>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</si>
  <si>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</si>
  <si>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</si>
  <si>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</si>
  <si>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</si>
  <si>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</si>
  <si>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</si>
  <si>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</si>
  <si>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</si>
  <si>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</si>
  <si>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</si>
  <si>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</si>
  <si>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</si>
  <si>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</si>
  <si>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</si>
  <si>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</si>
  <si>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</si>
  <si>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</si>
  <si>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</si>
  <si>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</si>
  <si>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</si>
  <si>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</si>
  <si>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</si>
  <si>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</si>
  <si>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</si>
  <si>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</si>
  <si>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</si>
  <si>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</si>
  <si>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</si>
  <si>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</si>
  <si>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</si>
  <si>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</si>
  <si>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</si>
  <si>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</si>
  <si>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</si>
  <si>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</si>
  <si>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</si>
  <si>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</si>
  <si>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</si>
  <si>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</si>
  <si>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</si>
  <si>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</si>
  <si>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</si>
  <si>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</si>
  <si>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</si>
  <si>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</si>
  <si>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</si>
  <si>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</si>
  <si>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</si>
  <si>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</si>
  <si>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</si>
  <si>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</si>
  <si>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</si>
  <si>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</si>
  <si>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</si>
  <si>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</si>
  <si>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</si>
  <si>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</si>
  <si>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</si>
  <si>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</si>
  <si>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</si>
  <si>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</si>
  <si>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</si>
  <si>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</si>
  <si>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</si>
  <si>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</si>
  <si>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</si>
  <si>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</si>
  <si>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</si>
  <si>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</si>
  <si>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</si>
  <si>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</si>
  <si>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</si>
  <si>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</si>
  <si>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</si>
  <si>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</si>
  <si>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</si>
  <si>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</si>
  <si>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</si>
  <si>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</si>
  <si>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</si>
  <si>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</si>
  <si>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</si>
  <si>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</si>
  <si>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</si>
  <si>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</si>
  <si>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</si>
  <si>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</si>
  <si>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</si>
  <si>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</si>
  <si>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</si>
  <si>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</si>
  <si>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</si>
  <si>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</si>
  <si>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</si>
  <si>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</si>
  <si>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</si>
  <si>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</si>
  <si>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</si>
  <si>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</si>
  <si>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</si>
  <si>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</si>
  <si>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</si>
  <si>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</si>
  <si>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</si>
  <si>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</si>
  <si>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</si>
  <si>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</si>
  <si>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</si>
  <si>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</si>
  <si>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</si>
  <si>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</si>
  <si>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</si>
  <si>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</si>
  <si>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</si>
  <si>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</si>
  <si>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</si>
  <si>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</si>
  <si>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</si>
  <si>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</si>
  <si>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</si>
  <si>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</si>
  <si>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</si>
  <si>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</si>
  <si>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</si>
  <si>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</si>
  <si>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</si>
  <si>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</si>
  <si>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</si>
  <si>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</si>
  <si>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</si>
  <si>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</si>
  <si>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</si>
  <si>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</si>
  <si>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</si>
  <si>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</si>
  <si>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</si>
  <si>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</si>
  <si>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</si>
  <si>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</si>
  <si>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</si>
  <si>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</si>
  <si>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</si>
  <si>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</si>
  <si>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</si>
  <si>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</si>
  <si>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</si>
  <si>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</si>
  <si>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</si>
  <si>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</si>
  <si>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</si>
  <si>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</si>
  <si>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</si>
  <si>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</si>
  <si>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</si>
  <si>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</si>
  <si>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</si>
  <si>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</si>
  <si>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</si>
  <si>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</si>
  <si>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</si>
  <si>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</si>
  <si>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</si>
  <si>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</si>
  <si>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</si>
  <si>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</si>
  <si>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</si>
  <si>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</si>
  <si>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</si>
  <si>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1/11</t>
  </si>
  <si>
    <t>1/32</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</si>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</sst>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0" fillId="0" borderId="0" xfId="0" applyNumberForma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636"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1193</v>
      </c>
      <c r="B2" s="21"/>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813452.16+569021.19</f>
        <v>1382473.35</v>
      </c>
      <c r="G9" s="18"/>
      <c r="H9" s="18"/>
      <c r="I9" s="4"/>
      <c r="J9" s="67">
        <f>SUM(I439)</f>
        <v>0</v>
      </c>
      <c r="K9" s="24" t="s">
        <v>288</v>
      </c>
      <c r="L9" s="24" t="s">
        <v>288</v>
      </c>
      <c r="M9" s="8"/>
      <c r="N9" s="266"/>
    </row>
    <row r="10" spans="1:14" s="3" customFormat="1" ht="12.2" customHeight="1" x14ac:dyDescent="0.15">
      <c r="A10" s="1" t="s">
        <v>562</v>
      </c>
      <c r="B10" s="2" t="s">
        <v>289</v>
      </c>
      <c r="C10" s="6">
        <v>2</v>
      </c>
      <c r="D10" s="2" t="s">
        <v>428</v>
      </c>
      <c r="E10" s="6">
        <v>110</v>
      </c>
      <c r="F10" s="18">
        <f>1448805.36</f>
        <v>1448805.36</v>
      </c>
      <c r="G10" s="18"/>
      <c r="H10" s="18"/>
      <c r="I10" s="18"/>
      <c r="J10" s="67">
        <f>SUM(I440)</f>
        <v>3209982.97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96700.94</f>
        <v>96700.94</v>
      </c>
      <c r="G12" s="18">
        <f>91712.83</f>
        <v>91712.83</v>
      </c>
      <c r="H12" s="18">
        <f>188383.54+1.62+0.11</f>
        <v>188385.27</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114471.78</v>
      </c>
      <c r="G13" s="18">
        <v>10025.450000000001</v>
      </c>
      <c r="H13" s="18">
        <v>121233.28</v>
      </c>
      <c r="I13" s="18">
        <v>1098000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f>200002.22</f>
        <v>200002.22</v>
      </c>
      <c r="G14" s="18">
        <v>4759.6000000000004</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8913.3700000000008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3242453.65</v>
      </c>
      <c r="G19" s="41">
        <f>SUM(G9:G18)</f>
        <v>115411.25</v>
      </c>
      <c r="H19" s="41">
        <f>SUM(H9:H18)</f>
        <v>309618.55</v>
      </c>
      <c r="I19" s="41">
        <f>SUM(I10:I18)</f>
        <v>1098000</v>
      </c>
      <c r="J19" s="41">
        <f>SUM(J9:J18)</f>
        <v>3209982.97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41584.08+7630.92+58147.21+1813.01+1134.74+7757.85+3167.2</f>
        <v>121235.01</v>
      </c>
      <c r="I22" s="18">
        <v>228495.24</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1098000</v>
      </c>
      <c r="K23" s="24" t="s">
        <v>288</v>
      </c>
      <c r="L23" s="24" t="s">
        <v>288</v>
      </c>
      <c r="M23" s="8"/>
      <c r="N23" s="266"/>
    </row>
    <row r="24" spans="1:14" s="3" customFormat="1" ht="12.2" customHeight="1" x14ac:dyDescent="0.15">
      <c r="A24" s="1" t="s">
        <v>570</v>
      </c>
      <c r="B24" s="2" t="s">
        <v>289</v>
      </c>
      <c r="C24" s="6">
        <v>14</v>
      </c>
      <c r="D24" s="2" t="s">
        <v>429</v>
      </c>
      <c r="E24" s="6">
        <v>420</v>
      </c>
      <c r="F24" s="18">
        <v>17790.990000000002</v>
      </c>
      <c r="G24" s="18">
        <v>53518.55</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24689.97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17790.990000000002</v>
      </c>
      <c r="G32" s="41">
        <f>SUM(G22:G31)</f>
        <v>78208.52</v>
      </c>
      <c r="H32" s="41">
        <f>SUM(H22:H31)</f>
        <v>121235.01</v>
      </c>
      <c r="I32" s="41">
        <f>SUM(I22:I31)</f>
        <v>228495.24</v>
      </c>
      <c r="J32" s="41">
        <f>SUM(J22:J31)</f>
        <v>1098000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8913.3700000000008</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33384.17+617245.8-624244.24+1903.63</f>
        <v>28289.360000000099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f>700000</f>
        <v>700000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768005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188383.54</f>
        <v>188383.54</v>
      </c>
      <c r="I48" s="18">
        <f>1098000-I472</f>
        <v>869504.76</v>
      </c>
      <c r="J48" s="13">
        <f>SUM(I459)</f>
        <v>2111982.9700000002</v>
      </c>
      <c r="K48" s="24" t="s">
        <v>288</v>
      </c>
      <c r="L48" s="24" t="s">
        <v>288</v>
      </c>
      <c r="M48" s="8"/>
      <c r="N48" s="266"/>
    </row>
    <row r="49" spans="1:14" s="3" customFormat="1" ht="12.2" customHeight="1" x14ac:dyDescent="0.15">
      <c r="A49" s="1" t="s">
        <v>859</v>
      </c>
      <c r="B49" s="2" t="s">
        <v>289</v>
      </c>
      <c r="C49" s="6">
        <v>34</v>
      </c>
      <c r="D49" s="2"/>
      <c r="E49" s="6">
        <v>753</v>
      </c>
      <c r="F49" s="18">
        <v>386700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1369957.66</f>
        <v>1369957.66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3224662.66</v>
      </c>
      <c r="G51" s="41">
        <f>SUM(G35:G50)</f>
        <v>37202.730000000098</v>
      </c>
      <c r="H51" s="41">
        <f>SUM(H35:H50)</f>
        <v>188383.54</v>
      </c>
      <c r="I51" s="41">
        <f>SUM(I35:I50)</f>
        <v>869504.76</v>
      </c>
      <c r="J51" s="41">
        <f>SUM(J35:J50)</f>
        <v>2111982.9700000002</v>
      </c>
      <c r="K51" s="45" t="s">
        <v>288</v>
      </c>
      <c r="L51" s="45" t="s">
        <v>288</v>
      </c>
      <c r="N51" s="264"/>
    </row>
    <row r="52" spans="1:14" s="3" customFormat="1" ht="12.2" customHeight="1" thickTop="1" x14ac:dyDescent="0.15">
      <c r="A52" s="38" t="s">
        <v>455</v>
      </c>
      <c r="B52" s="39" t="s">
        <v>289</v>
      </c>
      <c r="C52" s="6">
        <v>37</v>
      </c>
      <c r="D52" s="39" t="s">
        <v>653</v>
      </c>
      <c r="E52" s="39"/>
      <c r="F52" s="41">
        <f>F51+F32</f>
        <v>3242453.6500000004</v>
      </c>
      <c r="G52" s="41">
        <f>G51+G32</f>
        <v>115411.2500000001</v>
      </c>
      <c r="H52" s="41">
        <f>H51+H32</f>
        <v>309618.55</v>
      </c>
      <c r="I52" s="41">
        <f>I51+I32</f>
        <v>1098000</v>
      </c>
      <c r="J52" s="41">
        <f>J51+J32</f>
        <v>3209982.97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27472964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27472964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23325</f>
        <v>23325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f>100</f>
        <v>100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4667045.82</f>
        <v>4667045.82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f>53814.1</f>
        <v>53814.1</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f>18015</f>
        <v>18015</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4762299.92</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113186.15</f>
        <v>113186.15</v>
      </c>
      <c r="G96" s="18"/>
      <c r="H96" s="18"/>
      <c r="I96" s="18"/>
      <c r="J96" s="18">
        <f>H388+H389+H397+H399+H400</f>
        <v>47965.219999999994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111624+188670+17244+20178+31501+1739</f>
        <v>370956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19541.25</f>
        <v>19541.25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337325.8+14397.55</f>
        <v>351723.35</v>
      </c>
      <c r="G110" s="18"/>
      <c r="H110" s="18">
        <f>139455.97</f>
        <v>139455.97</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484450.75</v>
      </c>
      <c r="G111" s="41">
        <f>SUM(G96:G110)</f>
        <v>370956</v>
      </c>
      <c r="H111" s="41">
        <f>SUM(H96:H110)</f>
        <v>139455.97</v>
      </c>
      <c r="I111" s="41">
        <f>SUM(I96:I110)</f>
        <v>0</v>
      </c>
      <c r="J111" s="41">
        <f>SUM(J96:J110)</f>
        <v>47965.219999999994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32719714.670000002</v>
      </c>
      <c r="G112" s="41">
        <f>G60+G111</f>
        <v>370956</v>
      </c>
      <c r="H112" s="41">
        <f>H60+H79+H94+H111</f>
        <v>139455.97</v>
      </c>
      <c r="I112" s="41">
        <f>I60+I111</f>
        <v>0</v>
      </c>
      <c r="J112" s="41">
        <f>J60+J111</f>
        <v>47965.219999999994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2166856.04</f>
        <v>2166856.04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4281866</f>
        <v>4281866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5768.31</f>
        <v>5768.31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6454490.3499999996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f>526592.03</f>
        <v>526592.03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f>118959.94</f>
        <v>118959.94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365632.54-5768.31</f>
        <v>359864.23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155235.32</f>
        <v>155235.32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6599.04</f>
        <v>6599.04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7768.65</f>
        <v>7768.65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G135" s="18"/>
      <c r="H135" s="18">
        <f>45817.83</f>
        <v>45817.83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1167250.56</v>
      </c>
      <c r="G136" s="41">
        <f>SUM(G123:G135)</f>
        <v>7768.65</v>
      </c>
      <c r="H136" s="41">
        <f>SUM(H123:H135)</f>
        <v>45817.83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7621740.9100000001</v>
      </c>
      <c r="G140" s="41">
        <f>G121+SUM(G136:G137)</f>
        <v>7768.65</v>
      </c>
      <c r="H140" s="41">
        <f>H121+SUM(H136:H139)</f>
        <v>45817.83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266042.88</f>
        <v>266042.88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9642.29+14255.03+19637.3+48824.57</f>
        <v>92359.19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f>44510.38</f>
        <v>44510.38</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61482.72+151500.75+25537.68</f>
        <v>238521.15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f>166410.65</f>
        <v>166410.65</v>
      </c>
      <c r="G159" s="24" t="s">
        <v>288</v>
      </c>
      <c r="H159" s="18">
        <f>422584.08</f>
        <v>422584.08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166410.65</v>
      </c>
      <c r="G162" s="41">
        <f>SUM(G150:G161)</f>
        <v>238521.15</v>
      </c>
      <c r="H162" s="41">
        <f>SUM(H150:H161)</f>
        <v>825496.53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166410.65</v>
      </c>
      <c r="G169" s="41">
        <f>G147+G162+SUM(G163:G168)</f>
        <v>238521.15</v>
      </c>
      <c r="H169" s="41">
        <f>H147+H162+SUM(H163:H168)</f>
        <v>825496.53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600000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600000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f>287045.5+180436.01</f>
        <v>467481.51</v>
      </c>
      <c r="G185" s="18"/>
      <c r="H185" s="18"/>
      <c r="I185" s="18">
        <f>1098000</f>
        <v>1098000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467481.51</v>
      </c>
      <c r="G188" s="41">
        <f>SUM(G185:G187)</f>
        <v>0</v>
      </c>
      <c r="H188" s="41">
        <f>SUM(H185:H187)</f>
        <v>0</v>
      </c>
      <c r="I188" s="41">
        <f>SUM(I185:I187)</f>
        <v>1098000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467481.51</v>
      </c>
      <c r="G192" s="41">
        <f>G183+SUM(G188:G191)</f>
        <v>0</v>
      </c>
      <c r="H192" s="41">
        <f>+H183+SUM(H188:H191)</f>
        <v>0</v>
      </c>
      <c r="I192" s="41">
        <f>I177+I183+SUM(I188:I191)</f>
        <v>1098000</v>
      </c>
      <c r="J192" s="41">
        <f>J183</f>
        <v>600000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40975347.739999995</v>
      </c>
      <c r="G193" s="47">
        <f>G112+G140+G169+G192</f>
        <v>617245.80000000005</v>
      </c>
      <c r="H193" s="47">
        <f>H112+H140+H169+H192</f>
        <v>1010770.3300000001</v>
      </c>
      <c r="I193" s="47">
        <f>I112+I140+I169+I192</f>
        <v>1098000</v>
      </c>
      <c r="J193" s="47">
        <f>J112+J140+J192</f>
        <v>647965.22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4037021+82525.7+301045.19</f>
        <v>4420591.8900000006</v>
      </c>
      <c r="G197" s="18">
        <f>2408501+6810.37</f>
        <v>2415311.37</v>
      </c>
      <c r="H197" s="18">
        <f>19455+2694.21</f>
        <v>22149.21</v>
      </c>
      <c r="I197" s="18">
        <f>95972+95.62</f>
        <v>96067.62</v>
      </c>
      <c r="J197" s="18">
        <f>35309</f>
        <v>35309</v>
      </c>
      <c r="K197" s="18">
        <f>10878</f>
        <v>10878</v>
      </c>
      <c r="L197" s="19">
        <f>SUM(F197:K197)</f>
        <v>7000307.0900000008</v>
      </c>
      <c r="M197" s="8"/>
      <c r="N197" s="266"/>
    </row>
    <row r="198" spans="1:14" s="3" customFormat="1" ht="12.2" customHeight="1" x14ac:dyDescent="0.15">
      <c r="A198" s="1" t="s">
        <v>439</v>
      </c>
      <c r="B198" s="2" t="s">
        <v>341</v>
      </c>
      <c r="C198" s="2" t="s">
        <v>291</v>
      </c>
      <c r="D198" s="2" t="s">
        <v>431</v>
      </c>
      <c r="E198" s="6">
        <v>1200</v>
      </c>
      <c r="F198" s="18">
        <f>1553398.44+114342.78</f>
        <v>1667741.22</v>
      </c>
      <c r="G198" s="18">
        <f>965347.56+111836.3-204.19</f>
        <v>1076979.6700000002</v>
      </c>
      <c r="H198" s="18">
        <f>294238+50503.11</f>
        <v>344741.11</v>
      </c>
      <c r="I198" s="18">
        <f>12056+856.39</f>
        <v>12912.39</v>
      </c>
      <c r="J198" s="18">
        <f>10536</f>
        <v>10536</v>
      </c>
      <c r="K198" s="18">
        <f>1327.73</f>
        <v>1327.73</v>
      </c>
      <c r="L198" s="19">
        <f>SUM(F198:K198)</f>
        <v>3114238.12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31952+3500</f>
        <v>35452</v>
      </c>
      <c r="G200" s="18">
        <f>8102+875.17</f>
        <v>8977.17</v>
      </c>
      <c r="H200" s="18"/>
      <c r="I200" s="18">
        <f>6502.17</f>
        <v>6502.17</v>
      </c>
      <c r="J200" s="18"/>
      <c r="K200" s="18"/>
      <c r="L200" s="19">
        <f>SUM(F200:K200)</f>
        <v>50931.34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267813</f>
        <v>267813</v>
      </c>
      <c r="G202" s="18">
        <f>126959</f>
        <v>126959</v>
      </c>
      <c r="H202" s="18">
        <f>989+6402.27</f>
        <v>7391.27</v>
      </c>
      <c r="I202" s="18">
        <f>3786+301.35</f>
        <v>4087.35</v>
      </c>
      <c r="J202" s="18">
        <f>1880</f>
        <v>1880</v>
      </c>
      <c r="K202" s="18"/>
      <c r="L202" s="19">
        <f t="shared" ref="L202:L208" si="0">SUM(F202:K202)</f>
        <v>408130.62</v>
      </c>
      <c r="M202" s="8"/>
      <c r="N202" s="266"/>
    </row>
    <row r="203" spans="1:14" s="3" customFormat="1" ht="12.2" customHeight="1" x14ac:dyDescent="0.15">
      <c r="A203" s="1" t="s">
        <v>443</v>
      </c>
      <c r="B203" s="2" t="s">
        <v>341</v>
      </c>
      <c r="C203" s="2" t="s">
        <v>295</v>
      </c>
      <c r="D203" s="2" t="s">
        <v>431</v>
      </c>
      <c r="E203" s="6">
        <v>2200</v>
      </c>
      <c r="F203" s="18">
        <f>209061+111706.7</f>
        <v>320767.7</v>
      </c>
      <c r="G203" s="18">
        <f>106641+51829.65</f>
        <v>158470.65</v>
      </c>
      <c r="H203" s="18">
        <f>15993+165981.57</f>
        <v>181974.57</v>
      </c>
      <c r="I203" s="18">
        <f>58889+55034.97</f>
        <v>113923.97</v>
      </c>
      <c r="J203" s="18">
        <f>50755+8217.49</f>
        <v>58972.49</v>
      </c>
      <c r="K203" s="18">
        <f>225.4</f>
        <v>225.4</v>
      </c>
      <c r="L203" s="19">
        <f t="shared" si="0"/>
        <v>834334.77999999991</v>
      </c>
      <c r="M203" s="8"/>
      <c r="N203" s="266"/>
    </row>
    <row r="204" spans="1:14" s="3" customFormat="1" ht="12.2" customHeight="1" x14ac:dyDescent="0.15">
      <c r="A204" s="1" t="s">
        <v>444</v>
      </c>
      <c r="B204" s="2" t="s">
        <v>341</v>
      </c>
      <c r="C204" s="2" t="s">
        <v>296</v>
      </c>
      <c r="D204" s="2" t="s">
        <v>431</v>
      </c>
      <c r="E204" s="6">
        <v>2300</v>
      </c>
      <c r="F204" s="18">
        <f>237626.7</f>
        <v>237626.7</v>
      </c>
      <c r="G204" s="18">
        <f>126352.84</f>
        <v>126352.84</v>
      </c>
      <c r="H204" s="18">
        <f>99963.43</f>
        <v>99963.43</v>
      </c>
      <c r="I204" s="18">
        <f>23087.61</f>
        <v>23087.61</v>
      </c>
      <c r="J204" s="18">
        <f>138.25</f>
        <v>138.25</v>
      </c>
      <c r="K204" s="18">
        <f>4082.49</f>
        <v>4082.49</v>
      </c>
      <c r="L204" s="19">
        <f t="shared" si="0"/>
        <v>491251.32</v>
      </c>
      <c r="M204" s="8"/>
      <c r="N204" s="266"/>
    </row>
    <row r="205" spans="1:14" s="3" customFormat="1" ht="12.2" customHeight="1" x14ac:dyDescent="0.15">
      <c r="A205" s="1" t="s">
        <v>445</v>
      </c>
      <c r="B205" s="2" t="s">
        <v>341</v>
      </c>
      <c r="C205" s="2" t="s">
        <v>297</v>
      </c>
      <c r="D205" s="2" t="s">
        <v>431</v>
      </c>
      <c r="E205" s="6">
        <v>2400</v>
      </c>
      <c r="F205" s="18">
        <f>461792+3311.28</f>
        <v>465103.28</v>
      </c>
      <c r="G205" s="18">
        <f>223168+250.97</f>
        <v>223418.97</v>
      </c>
      <c r="H205" s="18">
        <f>59412</f>
        <v>59412</v>
      </c>
      <c r="I205" s="18">
        <f>11097</f>
        <v>11097</v>
      </c>
      <c r="J205" s="18">
        <f>945</f>
        <v>945</v>
      </c>
      <c r="K205" s="18">
        <f>3642</f>
        <v>3642</v>
      </c>
      <c r="L205" s="19">
        <f t="shared" si="0"/>
        <v>763618.25</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243348+164370.44</f>
        <v>407718.44</v>
      </c>
      <c r="G207" s="18">
        <f>160345+92887.89</f>
        <v>253232.89</v>
      </c>
      <c r="H207" s="18">
        <f>112952+64414.17-4358.33</f>
        <v>173007.84</v>
      </c>
      <c r="I207" s="18">
        <f>162671+16210.32</f>
        <v>178881.32</v>
      </c>
      <c r="J207" s="18">
        <f>929+832.26</f>
        <v>1761.26</v>
      </c>
      <c r="K207" s="18">
        <f>732.89</f>
        <v>732.89</v>
      </c>
      <c r="L207" s="19">
        <f t="shared" si="0"/>
        <v>1015334.64</v>
      </c>
      <c r="M207" s="8"/>
      <c r="N207" s="266"/>
    </row>
    <row r="208" spans="1:14" s="3" customFormat="1" ht="12.2" customHeight="1" x14ac:dyDescent="0.15">
      <c r="A208" s="1" t="s">
        <v>448</v>
      </c>
      <c r="B208" s="2" t="s">
        <v>341</v>
      </c>
      <c r="C208" s="2" t="s">
        <v>300</v>
      </c>
      <c r="D208" s="2" t="s">
        <v>431</v>
      </c>
      <c r="E208" s="6">
        <v>2700</v>
      </c>
      <c r="F208" s="18">
        <f>5310+135423.07</f>
        <v>140733.07</v>
      </c>
      <c r="G208" s="18">
        <f>391+36038.06</f>
        <v>36429.06</v>
      </c>
      <c r="H208" s="18">
        <f>6466+81472.8+0.29</f>
        <v>87939.09</v>
      </c>
      <c r="I208" s="18">
        <f>50+29864.31</f>
        <v>29914.31</v>
      </c>
      <c r="J208" s="18">
        <f>101.5</f>
        <v>101.5</v>
      </c>
      <c r="K208" s="18">
        <f>976.93</f>
        <v>976.93</v>
      </c>
      <c r="L208" s="19">
        <f t="shared" si="0"/>
        <v>296093.95999999996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7963547.3000000017</v>
      </c>
      <c r="G211" s="41">
        <f t="shared" si="1"/>
        <v>4426131.6199999992</v>
      </c>
      <c r="H211" s="41">
        <f t="shared" si="1"/>
        <v>976578.52</v>
      </c>
      <c r="I211" s="41">
        <f t="shared" si="1"/>
        <v>476473.74</v>
      </c>
      <c r="J211" s="41">
        <f t="shared" si="1"/>
        <v>109643.49999999999</v>
      </c>
      <c r="K211" s="41">
        <f t="shared" si="1"/>
        <v>21865.439999999999</v>
      </c>
      <c r="L211" s="41">
        <f t="shared" si="1"/>
        <v>13974240.120000001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2990588.57+68378.44</f>
        <v>3058967.01</v>
      </c>
      <c r="G215" s="18">
        <f>1606152+5642.88-15000-0.31</f>
        <v>1596794.5699999998</v>
      </c>
      <c r="H215" s="18">
        <f>53740+2232.34</f>
        <v>55972.34</v>
      </c>
      <c r="I215" s="18">
        <f>87075+79.23</f>
        <v>87154.23</v>
      </c>
      <c r="J215" s="18">
        <f>13292</f>
        <v>13292</v>
      </c>
      <c r="K215" s="18">
        <f>11073</f>
        <v>11073</v>
      </c>
      <c r="L215" s="19">
        <f>SUM(F215:K215)</f>
        <v>4823253.1500000004</v>
      </c>
      <c r="M215" s="8"/>
      <c r="N215" s="266"/>
    </row>
    <row r="216" spans="1:14" s="3" customFormat="1" ht="12.2" customHeight="1" x14ac:dyDescent="0.15">
      <c r="A216" s="1" t="s">
        <v>439</v>
      </c>
      <c r="B216" s="2" t="s">
        <v>346</v>
      </c>
      <c r="C216" s="2" t="s">
        <v>291</v>
      </c>
      <c r="D216" s="2" t="s">
        <v>431</v>
      </c>
      <c r="E216" s="6">
        <v>1200</v>
      </c>
      <c r="F216" s="18">
        <f>912377+94741.16</f>
        <v>1007118.16</v>
      </c>
      <c r="G216" s="18">
        <f>601205+92664.36</f>
        <v>693869.36</v>
      </c>
      <c r="H216" s="18">
        <f>206685+41845.43</f>
        <v>248530.43</v>
      </c>
      <c r="I216" s="18">
        <f>13366+709.58</f>
        <v>14075.58</v>
      </c>
      <c r="J216" s="18">
        <f>35</f>
        <v>35</v>
      </c>
      <c r="K216" s="18">
        <f>172+1100.12</f>
        <v>1272.1199999999999</v>
      </c>
      <c r="L216" s="19">
        <f>SUM(F216:K216)</f>
        <v>1964900.6500000001</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101490+2900</f>
        <v>104390</v>
      </c>
      <c r="G218" s="18">
        <f>19131+725.14</f>
        <v>19856.14</v>
      </c>
      <c r="H218" s="18">
        <f>12874</f>
        <v>12874</v>
      </c>
      <c r="I218" s="18">
        <f>5991+5387.51</f>
        <v>11378.51</v>
      </c>
      <c r="J218" s="18">
        <f>1425</f>
        <v>1425</v>
      </c>
      <c r="K218" s="18">
        <f>285</f>
        <v>285</v>
      </c>
      <c r="L218" s="19">
        <f>SUM(F218:K218)</f>
        <v>150208.65000000002</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290884</f>
        <v>290884</v>
      </c>
      <c r="G220" s="18">
        <f>181919</f>
        <v>181919</v>
      </c>
      <c r="H220" s="18">
        <f>15389+5304.74</f>
        <v>20693.739999999998</v>
      </c>
      <c r="I220" s="18">
        <f>2093+249.69</f>
        <v>2342.69</v>
      </c>
      <c r="J220" s="18"/>
      <c r="K220" s="18">
        <f>129</f>
        <v>129</v>
      </c>
      <c r="L220" s="19">
        <f t="shared" ref="L220:L226" si="2">SUM(F220:K220)</f>
        <v>495968.43</v>
      </c>
      <c r="M220" s="8"/>
      <c r="N220" s="266"/>
    </row>
    <row r="221" spans="1:14" s="3" customFormat="1" ht="12.2" customHeight="1" x14ac:dyDescent="0.15">
      <c r="A221" s="1" t="s">
        <v>443</v>
      </c>
      <c r="B221" s="2" t="s">
        <v>346</v>
      </c>
      <c r="C221" s="2" t="s">
        <v>295</v>
      </c>
      <c r="D221" s="2" t="s">
        <v>431</v>
      </c>
      <c r="E221" s="6">
        <v>2200</v>
      </c>
      <c r="F221" s="18">
        <f>105343+92556.98</f>
        <v>197899.97999999998</v>
      </c>
      <c r="G221" s="18">
        <f>58935+42944.57</f>
        <v>101879.57</v>
      </c>
      <c r="H221" s="18">
        <f>4892+137527.59</f>
        <v>142419.59</v>
      </c>
      <c r="I221" s="18">
        <f>21315+45600.4</f>
        <v>66915.399999999994</v>
      </c>
      <c r="J221" s="18">
        <f>62732+6808.77</f>
        <v>69540.77</v>
      </c>
      <c r="K221" s="18">
        <f>186.76</f>
        <v>186.76</v>
      </c>
      <c r="L221" s="19">
        <f t="shared" si="2"/>
        <v>578842.07000000007</v>
      </c>
      <c r="M221" s="8"/>
      <c r="N221" s="266"/>
    </row>
    <row r="222" spans="1:14" s="3" customFormat="1" ht="12.2" customHeight="1" x14ac:dyDescent="0.15">
      <c r="A222" s="1" t="s">
        <v>444</v>
      </c>
      <c r="B222" s="2" t="s">
        <v>346</v>
      </c>
      <c r="C222" s="2" t="s">
        <v>296</v>
      </c>
      <c r="D222" s="2" t="s">
        <v>431</v>
      </c>
      <c r="E222" s="6">
        <v>2300</v>
      </c>
      <c r="F222" s="18">
        <f>196890.7</f>
        <v>196890.7</v>
      </c>
      <c r="G222" s="18">
        <f>104692.35</f>
        <v>104692.35</v>
      </c>
      <c r="H222" s="18">
        <f>82826.84</f>
        <v>82826.84</v>
      </c>
      <c r="I222" s="18">
        <f>19129.73</f>
        <v>19129.73</v>
      </c>
      <c r="J222" s="18">
        <f>114.55</f>
        <v>114.55</v>
      </c>
      <c r="K222" s="18">
        <f>3382.63</f>
        <v>3382.63</v>
      </c>
      <c r="L222" s="19">
        <f t="shared" si="2"/>
        <v>407036.8</v>
      </c>
      <c r="M222" s="8"/>
      <c r="N222" s="266"/>
    </row>
    <row r="223" spans="1:14" s="3" customFormat="1" ht="12.2" customHeight="1" x14ac:dyDescent="0.15">
      <c r="A223" s="1" t="s">
        <v>445</v>
      </c>
      <c r="B223" s="2" t="s">
        <v>346</v>
      </c>
      <c r="C223" s="2" t="s">
        <v>297</v>
      </c>
      <c r="D223" s="2" t="s">
        <v>431</v>
      </c>
      <c r="E223" s="6">
        <v>2400</v>
      </c>
      <c r="F223" s="18">
        <f>368258+2743.63</f>
        <v>371001.63</v>
      </c>
      <c r="G223" s="18">
        <f>218268+207.94</f>
        <v>218475.94</v>
      </c>
      <c r="H223" s="18">
        <f>42447</f>
        <v>42447</v>
      </c>
      <c r="I223" s="18">
        <f>6012</f>
        <v>6012</v>
      </c>
      <c r="J223" s="18">
        <f>1773</f>
        <v>1773</v>
      </c>
      <c r="K223" s="18">
        <f>3033</f>
        <v>3033</v>
      </c>
      <c r="L223" s="19">
        <f t="shared" si="2"/>
        <v>642742.57000000007</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f>180337+136192.65</f>
        <v>316529.65000000002</v>
      </c>
      <c r="G225" s="18">
        <f>96921+76964.25</f>
        <v>173885.25</v>
      </c>
      <c r="H225" s="18">
        <f>135291+53371.74-15000</f>
        <v>173662.74</v>
      </c>
      <c r="I225" s="18">
        <f>152830+13431.41</f>
        <v>166261.41</v>
      </c>
      <c r="J225" s="18">
        <f>728+689.59</f>
        <v>1417.5900000000001</v>
      </c>
      <c r="K225" s="18">
        <f>607.25</f>
        <v>607.25</v>
      </c>
      <c r="L225" s="19">
        <f t="shared" si="2"/>
        <v>832363.89</v>
      </c>
      <c r="M225" s="8"/>
      <c r="N225" s="266"/>
    </row>
    <row r="226" spans="1:14" s="3" customFormat="1" ht="12.2" customHeight="1" x14ac:dyDescent="0.15">
      <c r="A226" s="1" t="s">
        <v>448</v>
      </c>
      <c r="B226" s="2" t="s">
        <v>346</v>
      </c>
      <c r="C226" s="2" t="s">
        <v>300</v>
      </c>
      <c r="D226" s="2" t="s">
        <v>431</v>
      </c>
      <c r="E226" s="6">
        <v>2700</v>
      </c>
      <c r="F226" s="18">
        <f>9151+112207.69</f>
        <v>121358.69</v>
      </c>
      <c r="G226" s="18">
        <f>681+29860.11</f>
        <v>30541.11</v>
      </c>
      <c r="H226" s="18">
        <f>8101+67506.04-0.29</f>
        <v>75606.75</v>
      </c>
      <c r="I226" s="18">
        <f>24744.71</f>
        <v>24744.71</v>
      </c>
      <c r="J226" s="18">
        <f>84.1</f>
        <v>84.1</v>
      </c>
      <c r="K226" s="18">
        <f>809.46</f>
        <v>809.46</v>
      </c>
      <c r="L226" s="19">
        <f t="shared" si="2"/>
        <v>253144.81999999998</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5665039.8200000012</v>
      </c>
      <c r="G229" s="41">
        <f>SUM(G215:G228)</f>
        <v>3121913.2899999996</v>
      </c>
      <c r="H229" s="41">
        <f>SUM(H215:H228)</f>
        <v>855033.42999999993</v>
      </c>
      <c r="I229" s="41">
        <f>SUM(I215:I228)</f>
        <v>398014.26</v>
      </c>
      <c r="J229" s="41">
        <f>SUM(J215:J228)</f>
        <v>87682.010000000009</v>
      </c>
      <c r="K229" s="41">
        <f t="shared" si="3"/>
        <v>20778.219999999998</v>
      </c>
      <c r="L229" s="41">
        <f t="shared" si="3"/>
        <v>10148461.030000003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3368810+84883.58</f>
        <v>3453693.58</v>
      </c>
      <c r="G233" s="18">
        <f>1843593+7004.96</f>
        <v>1850597.96</v>
      </c>
      <c r="H233" s="18">
        <f>133309+2771.18-98380</f>
        <v>37700.179999999993</v>
      </c>
      <c r="I233" s="18">
        <f>128284+98.35</f>
        <v>128382.35</v>
      </c>
      <c r="J233" s="18">
        <f>68930</f>
        <v>68930</v>
      </c>
      <c r="K233" s="18">
        <f>9538</f>
        <v>9538</v>
      </c>
      <c r="L233" s="19">
        <f>SUM(F233:K233)</f>
        <v>5548842.0699999994</v>
      </c>
      <c r="M233" s="8"/>
      <c r="N233" s="266"/>
    </row>
    <row r="234" spans="1:14" s="3" customFormat="1" ht="12.2" customHeight="1" x14ac:dyDescent="0.15">
      <c r="A234" s="1" t="s">
        <v>439</v>
      </c>
      <c r="B234" s="2" t="s">
        <v>350</v>
      </c>
      <c r="C234" s="2" t="s">
        <v>291</v>
      </c>
      <c r="D234" s="2" t="s">
        <v>431</v>
      </c>
      <c r="E234" s="6">
        <v>1200</v>
      </c>
      <c r="F234" s="18">
        <f>674478+117609.72</f>
        <v>792087.72</v>
      </c>
      <c r="G234" s="18">
        <f>456237+115031.62</f>
        <v>571268.62</v>
      </c>
      <c r="H234" s="18">
        <f>1219613+51946.06</f>
        <v>1271559.06</v>
      </c>
      <c r="I234" s="18">
        <f>880.86</f>
        <v>880.86</v>
      </c>
      <c r="J234" s="18">
        <f>7980</f>
        <v>7980</v>
      </c>
      <c r="K234" s="18">
        <f>1365.66</f>
        <v>1365.66</v>
      </c>
      <c r="L234" s="19">
        <f>SUM(F234:K234)</f>
        <v>2645141.92</v>
      </c>
      <c r="M234" s="8"/>
      <c r="N234" s="266"/>
    </row>
    <row r="235" spans="1:14" s="3" customFormat="1" ht="12.2" customHeight="1" x14ac:dyDescent="0.15">
      <c r="A235" s="1" t="s">
        <v>440</v>
      </c>
      <c r="B235" s="2" t="s">
        <v>350</v>
      </c>
      <c r="C235" s="2" t="s">
        <v>292</v>
      </c>
      <c r="D235" s="2" t="s">
        <v>431</v>
      </c>
      <c r="E235" s="6">
        <v>1300</v>
      </c>
      <c r="F235" s="18"/>
      <c r="G235" s="18"/>
      <c r="H235" s="18">
        <f>533481</f>
        <v>533481</v>
      </c>
      <c r="I235" s="18"/>
      <c r="J235" s="18"/>
      <c r="K235" s="18"/>
      <c r="L235" s="19">
        <f>SUM(F235:K235)</f>
        <v>533481</v>
      </c>
      <c r="M235" s="8"/>
      <c r="N235" s="266"/>
    </row>
    <row r="236" spans="1:14" s="3" customFormat="1" ht="12.2" customHeight="1" x14ac:dyDescent="0.15">
      <c r="A236" s="1" t="s">
        <v>441</v>
      </c>
      <c r="B236" s="2" t="s">
        <v>350</v>
      </c>
      <c r="C236" s="2" t="s">
        <v>293</v>
      </c>
      <c r="D236" s="2" t="s">
        <v>431</v>
      </c>
      <c r="E236" s="6">
        <v>1400</v>
      </c>
      <c r="F236" s="18">
        <f>342865+3600</f>
        <v>346465</v>
      </c>
      <c r="G236" s="18">
        <f>71662+900.18</f>
        <v>72562.179999999993</v>
      </c>
      <c r="H236" s="18">
        <f>88460</f>
        <v>88460</v>
      </c>
      <c r="I236" s="18">
        <f>48656+6687.95</f>
        <v>55343.95</v>
      </c>
      <c r="J236" s="18">
        <f>4593</f>
        <v>4593</v>
      </c>
      <c r="K236" s="18">
        <f>44687</f>
        <v>44687</v>
      </c>
      <c r="L236" s="19">
        <f>SUM(F236:K236)</f>
        <v>612111.13</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506975</f>
        <v>506975</v>
      </c>
      <c r="G238" s="18">
        <f>279836</f>
        <v>279836</v>
      </c>
      <c r="H238" s="18">
        <f>7600+6585.19</f>
        <v>14185.189999999999</v>
      </c>
      <c r="I238" s="18">
        <f>9327+309.96</f>
        <v>9636.9599999999991</v>
      </c>
      <c r="J238" s="18"/>
      <c r="K238" s="18">
        <f>1251</f>
        <v>1251</v>
      </c>
      <c r="L238" s="19">
        <f t="shared" ref="L238:L244" si="4">SUM(F238:K238)</f>
        <v>811884.14999999991</v>
      </c>
      <c r="M238" s="8"/>
      <c r="N238" s="266"/>
    </row>
    <row r="239" spans="1:14" s="3" customFormat="1" ht="12.2" customHeight="1" x14ac:dyDescent="0.15">
      <c r="A239" s="1" t="s">
        <v>443</v>
      </c>
      <c r="B239" s="2" t="s">
        <v>350</v>
      </c>
      <c r="C239" s="2" t="s">
        <v>295</v>
      </c>
      <c r="D239" s="2" t="s">
        <v>431</v>
      </c>
      <c r="E239" s="6">
        <v>2200</v>
      </c>
      <c r="F239" s="18">
        <f>209113+114898.32</f>
        <v>324011.32</v>
      </c>
      <c r="G239" s="18">
        <f>119783+53310.5</f>
        <v>173093.5</v>
      </c>
      <c r="H239" s="18">
        <f>795+170723.9</f>
        <v>171518.9</v>
      </c>
      <c r="I239" s="18">
        <f>28012+56607.4</f>
        <v>84619.4</v>
      </c>
      <c r="J239" s="18">
        <f>58629+8452.27</f>
        <v>67081.27</v>
      </c>
      <c r="K239" s="18">
        <f>231.84</f>
        <v>231.84</v>
      </c>
      <c r="L239" s="19">
        <f t="shared" si="4"/>
        <v>820556.23</v>
      </c>
      <c r="M239" s="8"/>
      <c r="N239" s="266"/>
    </row>
    <row r="240" spans="1:14" s="3" customFormat="1" ht="12.2" customHeight="1" x14ac:dyDescent="0.15">
      <c r="A240" s="1" t="s">
        <v>444</v>
      </c>
      <c r="B240" s="2" t="s">
        <v>350</v>
      </c>
      <c r="C240" s="2" t="s">
        <v>296</v>
      </c>
      <c r="D240" s="2" t="s">
        <v>431</v>
      </c>
      <c r="E240" s="6">
        <v>2300</v>
      </c>
      <c r="F240" s="18">
        <f>244416.04</f>
        <v>244416.04</v>
      </c>
      <c r="G240" s="18">
        <f>129962.92</f>
        <v>129962.92</v>
      </c>
      <c r="H240" s="18">
        <f>102819.53</f>
        <v>102819.53</v>
      </c>
      <c r="I240" s="18">
        <f>23747.26</f>
        <v>23747.26</v>
      </c>
      <c r="J240" s="18">
        <f>142.2</f>
        <v>142.19999999999999</v>
      </c>
      <c r="K240" s="18">
        <f>4199.13</f>
        <v>4199.13</v>
      </c>
      <c r="L240" s="19">
        <f t="shared" si="4"/>
        <v>505287.08</v>
      </c>
      <c r="M240" s="8"/>
      <c r="N240" s="266"/>
    </row>
    <row r="241" spans="1:14" s="3" customFormat="1" ht="12.2" customHeight="1" x14ac:dyDescent="0.15">
      <c r="A241" s="1" t="s">
        <v>445</v>
      </c>
      <c r="B241" s="2" t="s">
        <v>350</v>
      </c>
      <c r="C241" s="2" t="s">
        <v>297</v>
      </c>
      <c r="D241" s="2" t="s">
        <v>431</v>
      </c>
      <c r="E241" s="6">
        <v>2400</v>
      </c>
      <c r="F241" s="18">
        <f>347413+3405.89</f>
        <v>350818.89</v>
      </c>
      <c r="G241" s="18">
        <f>201592+258.14</f>
        <v>201850.14</v>
      </c>
      <c r="H241" s="18">
        <f>74532</f>
        <v>74532</v>
      </c>
      <c r="I241" s="18">
        <f>19958</f>
        <v>19958</v>
      </c>
      <c r="J241" s="18">
        <f>2316</f>
        <v>2316</v>
      </c>
      <c r="K241" s="18">
        <f>4600</f>
        <v>4600</v>
      </c>
      <c r="L241" s="19">
        <f t="shared" si="4"/>
        <v>654075.03</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192746+169066.74</f>
        <v>361812.74</v>
      </c>
      <c r="G243" s="18">
        <f>146042+95541.83</f>
        <v>241583.83000000002</v>
      </c>
      <c r="H243" s="18">
        <f>196327+66254.57-15000</f>
        <v>247581.57</v>
      </c>
      <c r="I243" s="18">
        <f>182445+16673.47</f>
        <v>199118.47</v>
      </c>
      <c r="J243" s="18">
        <f>736+856.04</f>
        <v>1592.04</v>
      </c>
      <c r="K243" s="18">
        <f>753.83</f>
        <v>753.83</v>
      </c>
      <c r="L243" s="19">
        <f t="shared" si="4"/>
        <v>1052442.4800000002</v>
      </c>
      <c r="M243" s="8"/>
      <c r="N243" s="266"/>
    </row>
    <row r="244" spans="1:14" s="3" customFormat="1" ht="12.2" customHeight="1" x14ac:dyDescent="0.15">
      <c r="A244" s="1" t="s">
        <v>448</v>
      </c>
      <c r="B244" s="2" t="s">
        <v>350</v>
      </c>
      <c r="C244" s="2" t="s">
        <v>300</v>
      </c>
      <c r="D244" s="2" t="s">
        <v>431</v>
      </c>
      <c r="E244" s="6">
        <v>2700</v>
      </c>
      <c r="F244" s="18">
        <f>54056+139292.3</f>
        <v>193348.3</v>
      </c>
      <c r="G244" s="18">
        <f>4251+37067.72</f>
        <v>41318.720000000001</v>
      </c>
      <c r="H244" s="18">
        <f>64914+83800.6</f>
        <v>148714.6</v>
      </c>
      <c r="I244" s="18">
        <f>30717.57+1810.53</f>
        <v>32528.1</v>
      </c>
      <c r="J244" s="18">
        <f>104.4</f>
        <v>104.4</v>
      </c>
      <c r="K244" s="18">
        <f>1004.85</f>
        <v>1004.85</v>
      </c>
      <c r="L244" s="19">
        <f t="shared" si="4"/>
        <v>417018.97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6573628.5899999999</v>
      </c>
      <c r="G247" s="41">
        <f t="shared" si="5"/>
        <v>3562073.8700000006</v>
      </c>
      <c r="H247" s="41">
        <f t="shared" si="5"/>
        <v>2690552.03</v>
      </c>
      <c r="I247" s="41">
        <f t="shared" si="5"/>
        <v>554215.35</v>
      </c>
      <c r="J247" s="41">
        <f t="shared" si="5"/>
        <v>152738.91000000003</v>
      </c>
      <c r="K247" s="41">
        <f t="shared" si="5"/>
        <v>67631.310000000012</v>
      </c>
      <c r="L247" s="41">
        <f t="shared" si="5"/>
        <v>13600840.060000001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352602.92</f>
        <v>352602.92</v>
      </c>
      <c r="I255" s="18"/>
      <c r="J255" s="18"/>
      <c r="K255" s="18"/>
      <c r="L255" s="19">
        <f t="shared" si="6"/>
        <v>352602.92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352602.92</v>
      </c>
      <c r="I256" s="41">
        <f t="shared" si="7"/>
        <v>0</v>
      </c>
      <c r="J256" s="41">
        <f t="shared" si="7"/>
        <v>0</v>
      </c>
      <c r="K256" s="41">
        <f t="shared" si="7"/>
        <v>0</v>
      </c>
      <c r="L256" s="41">
        <f>SUM(F256:K256)</f>
        <v>352602.92</v>
      </c>
      <c r="M256" s="8"/>
      <c r="N256" s="266"/>
    </row>
    <row r="257" spans="1:14" s="3" customFormat="1" ht="12.2" customHeight="1" thickTop="1" x14ac:dyDescent="0.15">
      <c r="A257" s="38" t="s">
        <v>462</v>
      </c>
      <c r="B257" s="40">
        <v>10</v>
      </c>
      <c r="C257" s="40">
        <v>8</v>
      </c>
      <c r="D257" s="39" t="s">
        <v>431</v>
      </c>
      <c r="E257" s="40"/>
      <c r="F257" s="41">
        <f t="shared" ref="F257:L257" si="8">F211+F229+F247+F256</f>
        <v>20202215.710000001</v>
      </c>
      <c r="G257" s="41">
        <f t="shared" si="8"/>
        <v>11110118.779999999</v>
      </c>
      <c r="H257" s="41">
        <f t="shared" si="8"/>
        <v>4874766.8999999994</v>
      </c>
      <c r="I257" s="41">
        <f t="shared" si="8"/>
        <v>1428703.35</v>
      </c>
      <c r="J257" s="41">
        <f t="shared" si="8"/>
        <v>350064.42000000004</v>
      </c>
      <c r="K257" s="41">
        <f t="shared" si="8"/>
        <v>110274.97</v>
      </c>
      <c r="L257" s="41">
        <f t="shared" si="8"/>
        <v>38076144.13000001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f>1243162.81</f>
        <v>1243162.81</v>
      </c>
      <c r="L260" s="19">
        <f>SUM(F260:K260)</f>
        <v>1243162.81</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f>802860.39</f>
        <v>802860.39</v>
      </c>
      <c r="L261" s="19">
        <f>SUM(F261:K261)</f>
        <v>802860.39</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SUM(F265:K265)</f>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322">
        <v>600000</v>
      </c>
      <c r="L266" s="19">
        <f>SUM(F266:K266)</f>
        <v>600000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f>98380</f>
        <v>98380</v>
      </c>
      <c r="L268" s="19">
        <f t="shared" si="9"/>
        <v>98380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2744403.2</v>
      </c>
      <c r="L270" s="41">
        <f t="shared" si="9"/>
        <v>2744403.2</v>
      </c>
      <c r="N270" s="264"/>
    </row>
    <row r="271" spans="1:14" s="3" customFormat="1" ht="12.2" customHeight="1" thickTop="1" x14ac:dyDescent="0.2">
      <c r="A271" s="43" t="s">
        <v>464</v>
      </c>
      <c r="B271" s="40">
        <v>10</v>
      </c>
      <c r="C271" s="40">
        <v>18</v>
      </c>
      <c r="D271" s="39" t="s">
        <v>431</v>
      </c>
      <c r="E271" s="40"/>
      <c r="F271" s="42">
        <f t="shared" ref="F271:L271" si="11">F257+F270</f>
        <v>20202215.710000001</v>
      </c>
      <c r="G271" s="42">
        <f t="shared" si="11"/>
        <v>11110118.779999999</v>
      </c>
      <c r="H271" s="42">
        <f t="shared" si="11"/>
        <v>4874766.8999999994</v>
      </c>
      <c r="I271" s="42">
        <f t="shared" si="11"/>
        <v>1428703.35</v>
      </c>
      <c r="J271" s="42">
        <f t="shared" si="11"/>
        <v>350064.42000000004</v>
      </c>
      <c r="K271" s="42">
        <f t="shared" si="11"/>
        <v>2854678.1700000004</v>
      </c>
      <c r="L271" s="42">
        <f t="shared" si="11"/>
        <v>40820547.330000013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198134.46</f>
        <v>198134.46</v>
      </c>
      <c r="G276" s="18">
        <f>49553.19</f>
        <v>49553.19</v>
      </c>
      <c r="H276" s="18">
        <f>1535.63</f>
        <v>1535.63</v>
      </c>
      <c r="I276" s="18">
        <f>11436.55+1812.53</f>
        <v>13249.08</v>
      </c>
      <c r="J276" s="18">
        <f>205.07</f>
        <v>205.07</v>
      </c>
      <c r="K276" s="18"/>
      <c r="L276" s="19">
        <f>SUM(F276:K276)</f>
        <v>262677.43</v>
      </c>
      <c r="M276" s="8"/>
      <c r="N276" s="266"/>
    </row>
    <row r="277" spans="1:14" s="3" customFormat="1" ht="12.2" customHeight="1" x14ac:dyDescent="0.15">
      <c r="A277" s="1" t="s">
        <v>439</v>
      </c>
      <c r="B277" s="2" t="s">
        <v>357</v>
      </c>
      <c r="C277" s="2" t="s">
        <v>291</v>
      </c>
      <c r="D277" s="2" t="s">
        <v>431</v>
      </c>
      <c r="E277" s="6">
        <v>1200</v>
      </c>
      <c r="F277" s="18">
        <f>28497.81+68157.91</f>
        <v>96655.72</v>
      </c>
      <c r="G277" s="18">
        <f>5846.07+17626.04</f>
        <v>23472.11</v>
      </c>
      <c r="H277" s="18">
        <f>35725.84+32248.69</f>
        <v>67974.53</v>
      </c>
      <c r="I277" s="18">
        <f>3878.7</f>
        <v>3878.7</v>
      </c>
      <c r="J277" s="18">
        <f>215+700</f>
        <v>915</v>
      </c>
      <c r="K277" s="18"/>
      <c r="L277" s="19">
        <f>SUM(F277:K277)</f>
        <v>192896.06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3187.43+2211.26</f>
        <v>5398.6900000000005</v>
      </c>
      <c r="G279" s="18">
        <f>3079.8+395.06</f>
        <v>3474.86</v>
      </c>
      <c r="H279" s="18">
        <f>665.6</f>
        <v>665.6</v>
      </c>
      <c r="I279" s="18">
        <f>636.21+4.71</f>
        <v>640.92000000000007</v>
      </c>
      <c r="J279" s="18"/>
      <c r="K279" s="18"/>
      <c r="L279" s="19">
        <f>SUM(F279:K279)</f>
        <v>10180.070000000002</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288.8</f>
        <v>288.8</v>
      </c>
      <c r="G281" s="18">
        <f>48.71</f>
        <v>48.71</v>
      </c>
      <c r="H281" s="18"/>
      <c r="I281" s="18">
        <f>135.3</f>
        <v>135.30000000000001</v>
      </c>
      <c r="J281" s="18"/>
      <c r="K281" s="18"/>
      <c r="L281" s="19">
        <f t="shared" ref="L281:L287" si="12">SUM(F281:K281)</f>
        <v>472.81</v>
      </c>
      <c r="M281" s="8"/>
      <c r="N281" s="266"/>
    </row>
    <row r="282" spans="1:14" s="3" customFormat="1" ht="12.2" customHeight="1" x14ac:dyDescent="0.15">
      <c r="A282" s="1" t="s">
        <v>443</v>
      </c>
      <c r="B282" s="2" t="s">
        <v>357</v>
      </c>
      <c r="C282" s="2" t="s">
        <v>295</v>
      </c>
      <c r="D282" s="2" t="s">
        <v>431</v>
      </c>
      <c r="E282" s="6">
        <v>2200</v>
      </c>
      <c r="F282" s="18">
        <f>12946.11</f>
        <v>12946.11</v>
      </c>
      <c r="G282" s="18">
        <f>3358.71</f>
        <v>3358.71</v>
      </c>
      <c r="H282" s="18">
        <f>7426.69+12871.51</f>
        <v>20298.2</v>
      </c>
      <c r="I282" s="18">
        <f>3463.94+452.38</f>
        <v>3916.32</v>
      </c>
      <c r="J282" s="18">
        <f>140.04</f>
        <v>140.04</v>
      </c>
      <c r="K282" s="18"/>
      <c r="L282" s="19">
        <f t="shared" si="12"/>
        <v>40659.380000000005</v>
      </c>
      <c r="M282" s="8"/>
      <c r="N282" s="266"/>
    </row>
    <row r="283" spans="1:14" s="3" customFormat="1" ht="12.2" customHeight="1" x14ac:dyDescent="0.15">
      <c r="A283" s="1" t="s">
        <v>444</v>
      </c>
      <c r="B283" s="2" t="s">
        <v>357</v>
      </c>
      <c r="C283" s="2" t="s">
        <v>296</v>
      </c>
      <c r="D283" s="2" t="s">
        <v>431</v>
      </c>
      <c r="E283" s="6">
        <v>2300</v>
      </c>
      <c r="F283" s="18"/>
      <c r="G283" s="18"/>
      <c r="H283" s="18">
        <f>1342.51</f>
        <v>1342.51</v>
      </c>
      <c r="I283" s="18">
        <f>26.6</f>
        <v>26.6</v>
      </c>
      <c r="J283" s="18"/>
      <c r="K283" s="18"/>
      <c r="L283" s="19">
        <f t="shared" si="12"/>
        <v>1369.11</v>
      </c>
      <c r="M283" s="8"/>
      <c r="N283" s="266"/>
    </row>
    <row r="284" spans="1:14" s="3" customFormat="1" ht="12.2" customHeight="1" x14ac:dyDescent="0.15">
      <c r="A284" s="1" t="s">
        <v>445</v>
      </c>
      <c r="B284" s="2" t="s">
        <v>357</v>
      </c>
      <c r="C284" s="2" t="s">
        <v>297</v>
      </c>
      <c r="D284" s="2" t="s">
        <v>431</v>
      </c>
      <c r="E284" s="6">
        <v>2400</v>
      </c>
      <c r="F284" s="18">
        <f>13125</f>
        <v>13125</v>
      </c>
      <c r="G284" s="18">
        <f>10577.82</f>
        <v>10577.82</v>
      </c>
      <c r="H284" s="18">
        <f>1096.9</f>
        <v>1096.9000000000001</v>
      </c>
      <c r="I284" s="18"/>
      <c r="J284" s="18"/>
      <c r="K284" s="18">
        <f>59.15</f>
        <v>59.15</v>
      </c>
      <c r="L284" s="19">
        <f t="shared" si="12"/>
        <v>24858.870000000003</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f>1432.9</f>
        <v>1432.9</v>
      </c>
      <c r="G287" s="18">
        <f>116.36</f>
        <v>116.36</v>
      </c>
      <c r="H287" s="18"/>
      <c r="I287" s="18">
        <f>261.25</f>
        <v>261.25</v>
      </c>
      <c r="J287" s="18"/>
      <c r="K287" s="18"/>
      <c r="L287" s="19">
        <f t="shared" si="12"/>
        <v>1810.51</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327981.68</v>
      </c>
      <c r="G290" s="42">
        <f t="shared" si="13"/>
        <v>90601.760000000024</v>
      </c>
      <c r="H290" s="42">
        <f t="shared" si="13"/>
        <v>92913.37</v>
      </c>
      <c r="I290" s="42">
        <f t="shared" si="13"/>
        <v>22108.169999999995</v>
      </c>
      <c r="J290" s="42">
        <f t="shared" si="13"/>
        <v>1260.1099999999999</v>
      </c>
      <c r="K290" s="42">
        <f t="shared" si="13"/>
        <v>59.15</v>
      </c>
      <c r="L290" s="41">
        <f t="shared" si="13"/>
        <v>534924.24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f>1272.38</f>
        <v>1272.3800000000001</v>
      </c>
      <c r="I295" s="18">
        <f>1501.81+2201.88</f>
        <v>3703.69</v>
      </c>
      <c r="J295" s="18">
        <f>169.91</f>
        <v>169.91</v>
      </c>
      <c r="K295" s="18">
        <f>10000</f>
        <v>10000</v>
      </c>
      <c r="L295" s="19">
        <f>SUM(F295:K295)</f>
        <v>15145.98</v>
      </c>
      <c r="M295" s="8"/>
      <c r="N295" s="266"/>
    </row>
    <row r="296" spans="1:14" s="3" customFormat="1" ht="12.2" customHeight="1" x14ac:dyDescent="0.15">
      <c r="A296" s="1" t="s">
        <v>439</v>
      </c>
      <c r="B296" s="2" t="s">
        <v>358</v>
      </c>
      <c r="C296" s="2" t="s">
        <v>291</v>
      </c>
      <c r="D296" s="2" t="s">
        <v>431</v>
      </c>
      <c r="E296" s="6">
        <v>1200</v>
      </c>
      <c r="F296" s="18">
        <f>56473.7+2353.07</f>
        <v>58826.77</v>
      </c>
      <c r="G296" s="18">
        <f>14604.43</f>
        <v>14604.43</v>
      </c>
      <c r="H296" s="18">
        <f>26720.34</f>
        <v>26720.34</v>
      </c>
      <c r="I296" s="18">
        <f>3213.78</f>
        <v>3213.78</v>
      </c>
      <c r="J296" s="18">
        <f>580</f>
        <v>580</v>
      </c>
      <c r="K296" s="18"/>
      <c r="L296" s="19">
        <f>SUM(F296:K296)</f>
        <v>103945.31999999999</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f>1832.19</f>
        <v>1832.19</v>
      </c>
      <c r="G298" s="18">
        <f>327.33</f>
        <v>327.33</v>
      </c>
      <c r="H298" s="18">
        <f>8047.96</f>
        <v>8047.96</v>
      </c>
      <c r="I298" s="18">
        <f>3.91+2173.96</f>
        <v>2177.87</v>
      </c>
      <c r="J298" s="18"/>
      <c r="K298" s="18"/>
      <c r="L298" s="19">
        <f>SUM(F298:K298)</f>
        <v>12385.349999999999</v>
      </c>
      <c r="M298" s="8"/>
      <c r="N298" s="266"/>
    </row>
    <row r="299" spans="1:14" s="3" customFormat="1" ht="12.2" customHeight="1" x14ac:dyDescent="0.15">
      <c r="A299" s="30" t="s">
        <v>342</v>
      </c>
      <c r="E299" s="6"/>
      <c r="F299" s="24"/>
      <c r="G299" s="24"/>
      <c r="H299" s="24"/>
      <c r="I299" s="24"/>
      <c r="J299" s="24"/>
      <c r="K299" s="24"/>
      <c r="L299" s="24" t="s">
        <v>288</v>
      </c>
      <c r="M299" s="8"/>
      <c r="N299" s="266"/>
    </row>
    <row r="300" spans="1:14" s="3" customFormat="1" ht="12.2" customHeight="1" x14ac:dyDescent="0.15">
      <c r="A300" s="1" t="s">
        <v>442</v>
      </c>
      <c r="B300" s="2" t="s">
        <v>358</v>
      </c>
      <c r="C300" s="2" t="s">
        <v>294</v>
      </c>
      <c r="D300" s="2" t="s">
        <v>431</v>
      </c>
      <c r="E300" s="6">
        <v>2100</v>
      </c>
      <c r="F300" s="18">
        <f>239.29</f>
        <v>239.29</v>
      </c>
      <c r="G300" s="18">
        <f>40.36</f>
        <v>40.36</v>
      </c>
      <c r="H300" s="18"/>
      <c r="I300" s="18">
        <f>112.1</f>
        <v>112.1</v>
      </c>
      <c r="J300" s="18"/>
      <c r="K300" s="18"/>
      <c r="L300" s="19">
        <f t="shared" ref="L300:L306" si="14">SUM(F300:K300)</f>
        <v>391.75</v>
      </c>
      <c r="M300" s="8"/>
      <c r="N300" s="266"/>
    </row>
    <row r="301" spans="1:14" s="3" customFormat="1" ht="12.2" customHeight="1" x14ac:dyDescent="0.15">
      <c r="A301" s="1" t="s">
        <v>443</v>
      </c>
      <c r="B301" s="2" t="s">
        <v>358</v>
      </c>
      <c r="C301" s="2" t="s">
        <v>295</v>
      </c>
      <c r="D301" s="2" t="s">
        <v>431</v>
      </c>
      <c r="E301" s="6">
        <v>2200</v>
      </c>
      <c r="F301" s="18"/>
      <c r="G301" s="18"/>
      <c r="H301" s="18">
        <f>10664.96</f>
        <v>10664.96</v>
      </c>
      <c r="I301" s="18">
        <f>374.83+767.08</f>
        <v>1141.9100000000001</v>
      </c>
      <c r="J301" s="18">
        <f>116.03</f>
        <v>116.03</v>
      </c>
      <c r="K301" s="18"/>
      <c r="L301" s="19">
        <f t="shared" si="14"/>
        <v>11922.9</v>
      </c>
      <c r="M301" s="8"/>
      <c r="N301" s="266"/>
    </row>
    <row r="302" spans="1:14" s="3" customFormat="1" ht="12.2" customHeight="1" x14ac:dyDescent="0.15">
      <c r="A302" s="1" t="s">
        <v>444</v>
      </c>
      <c r="B302" s="2" t="s">
        <v>358</v>
      </c>
      <c r="C302" s="2" t="s">
        <v>296</v>
      </c>
      <c r="D302" s="2" t="s">
        <v>431</v>
      </c>
      <c r="E302" s="6">
        <v>2300</v>
      </c>
      <c r="F302" s="18"/>
      <c r="G302" s="18"/>
      <c r="H302" s="18">
        <f>1112.37</f>
        <v>1112.3699999999999</v>
      </c>
      <c r="I302" s="18">
        <f>22.04</f>
        <v>22.04</v>
      </c>
      <c r="J302" s="18"/>
      <c r="K302" s="18"/>
      <c r="L302" s="19">
        <f t="shared" si="14"/>
        <v>1134.4099999999999</v>
      </c>
      <c r="M302" s="8"/>
      <c r="N302" s="266"/>
    </row>
    <row r="303" spans="1:14" s="3" customFormat="1" ht="12.2" customHeight="1" x14ac:dyDescent="0.15">
      <c r="A303" s="1" t="s">
        <v>445</v>
      </c>
      <c r="B303" s="2" t="s">
        <v>358</v>
      </c>
      <c r="C303" s="2" t="s">
        <v>297</v>
      </c>
      <c r="D303" s="2" t="s">
        <v>431</v>
      </c>
      <c r="E303" s="6">
        <v>2400</v>
      </c>
      <c r="F303" s="18">
        <f>10875</f>
        <v>10875</v>
      </c>
      <c r="G303" s="18">
        <f>8764.48</f>
        <v>8764.48</v>
      </c>
      <c r="H303" s="18">
        <f>908.86</f>
        <v>908.86</v>
      </c>
      <c r="I303" s="18"/>
      <c r="J303" s="18"/>
      <c r="K303" s="18">
        <f>49.01</f>
        <v>49.01</v>
      </c>
      <c r="L303" s="19">
        <f t="shared" si="14"/>
        <v>20597.349999999999</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71773.25</v>
      </c>
      <c r="G309" s="42">
        <f t="shared" si="15"/>
        <v>23736.6</v>
      </c>
      <c r="H309" s="42">
        <f t="shared" si="15"/>
        <v>48726.87</v>
      </c>
      <c r="I309" s="42">
        <f t="shared" si="15"/>
        <v>10371.390000000001</v>
      </c>
      <c r="J309" s="42">
        <f t="shared" si="15"/>
        <v>865.93999999999994</v>
      </c>
      <c r="K309" s="42">
        <f t="shared" si="15"/>
        <v>10049.01</v>
      </c>
      <c r="L309" s="41">
        <f t="shared" si="15"/>
        <v>165523.06</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f>1579.5</f>
        <v>1579.5</v>
      </c>
      <c r="I314" s="18">
        <f>1864.32+8194.11</f>
        <v>10058.43</v>
      </c>
      <c r="J314" s="18">
        <f>210.93</f>
        <v>210.93</v>
      </c>
      <c r="K314" s="18"/>
      <c r="L314" s="19">
        <f>SUM(F314:K314)</f>
        <v>11848.86</v>
      </c>
      <c r="M314" s="8"/>
      <c r="N314" s="266"/>
    </row>
    <row r="315" spans="1:14" s="3" customFormat="1" ht="12.2" customHeight="1" x14ac:dyDescent="0.15">
      <c r="A315" s="1" t="s">
        <v>439</v>
      </c>
      <c r="B315" s="2" t="s">
        <v>359</v>
      </c>
      <c r="C315" s="2" t="s">
        <v>291</v>
      </c>
      <c r="D315" s="2" t="s">
        <v>431</v>
      </c>
      <c r="E315" s="6">
        <v>1200</v>
      </c>
      <c r="F315" s="18">
        <f>70105.28+5965.06</f>
        <v>76070.34</v>
      </c>
      <c r="G315" s="18">
        <f>18129.64+483.37</f>
        <v>18613.009999999998</v>
      </c>
      <c r="H315" s="18">
        <f>33170.08+4275</f>
        <v>37445.08</v>
      </c>
      <c r="I315" s="18">
        <f>3989.52</f>
        <v>3989.52</v>
      </c>
      <c r="J315" s="18">
        <f>720</f>
        <v>720</v>
      </c>
      <c r="K315" s="18"/>
      <c r="L315" s="19">
        <f>SUM(F315:K315)</f>
        <v>136837.94999999998</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f>2274.44</f>
        <v>2274.44</v>
      </c>
      <c r="G317" s="18">
        <f>406.35</f>
        <v>406.35</v>
      </c>
      <c r="H317" s="18">
        <f>12990.75</f>
        <v>12990.75</v>
      </c>
      <c r="I317" s="18">
        <f>4.85+6524.99</f>
        <v>6529.84</v>
      </c>
      <c r="J317" s="18">
        <f>1750</f>
        <v>1750</v>
      </c>
      <c r="K317" s="18">
        <f>7030.24</f>
        <v>7030.24</v>
      </c>
      <c r="L317" s="19">
        <f>SUM(F317:K317)</f>
        <v>30981.620000000003</v>
      </c>
      <c r="M317" s="8"/>
      <c r="N317" s="266"/>
    </row>
    <row r="318" spans="1:14" s="3" customFormat="1" ht="12.2" customHeight="1" x14ac:dyDescent="0.15">
      <c r="A318" s="30" t="s">
        <v>342</v>
      </c>
      <c r="C318" s="23"/>
      <c r="E318" s="6"/>
      <c r="F318" s="24"/>
      <c r="G318" s="24"/>
      <c r="H318" s="24"/>
      <c r="I318" s="24"/>
      <c r="J318" s="24"/>
      <c r="K318" s="24"/>
      <c r="L318" s="24" t="s">
        <v>288</v>
      </c>
      <c r="M318" s="8"/>
      <c r="N318" s="266"/>
    </row>
    <row r="319" spans="1:14" s="3" customFormat="1" ht="12.2" customHeight="1" x14ac:dyDescent="0.15">
      <c r="A319" s="1" t="s">
        <v>442</v>
      </c>
      <c r="B319" s="2" t="s">
        <v>359</v>
      </c>
      <c r="C319" s="2" t="s">
        <v>294</v>
      </c>
      <c r="D319" s="2" t="s">
        <v>431</v>
      </c>
      <c r="E319" s="6">
        <v>2100</v>
      </c>
      <c r="F319" s="18">
        <f>297.05+1325</f>
        <v>1622.05</v>
      </c>
      <c r="G319" s="18">
        <f>50.1+247.4</f>
        <v>297.5</v>
      </c>
      <c r="H319" s="18">
        <f>16328</f>
        <v>16328</v>
      </c>
      <c r="I319" s="18">
        <f>139.16</f>
        <v>139.16</v>
      </c>
      <c r="J319" s="18"/>
      <c r="K319" s="18"/>
      <c r="L319" s="19">
        <f t="shared" ref="L319:L325" si="16">SUM(F319:K319)</f>
        <v>18386.71</v>
      </c>
      <c r="M319" s="8"/>
      <c r="N319" s="266"/>
    </row>
    <row r="320" spans="1:14" s="3" customFormat="1" ht="12.2" customHeight="1" x14ac:dyDescent="0.15">
      <c r="A320" s="1" t="s">
        <v>443</v>
      </c>
      <c r="B320" s="2" t="s">
        <v>359</v>
      </c>
      <c r="C320" s="2" t="s">
        <v>295</v>
      </c>
      <c r="D320" s="2" t="s">
        <v>431</v>
      </c>
      <c r="E320" s="6">
        <v>2200</v>
      </c>
      <c r="F320" s="18"/>
      <c r="G320" s="18"/>
      <c r="H320" s="18">
        <f>13239.26</f>
        <v>13239.26</v>
      </c>
      <c r="I320" s="18">
        <f>465.3</f>
        <v>465.3</v>
      </c>
      <c r="J320" s="18">
        <f>144.04</f>
        <v>144.04</v>
      </c>
      <c r="K320" s="18"/>
      <c r="L320" s="19">
        <f t="shared" si="16"/>
        <v>13848.6</v>
      </c>
      <c r="M320" s="8"/>
      <c r="N320" s="266"/>
    </row>
    <row r="321" spans="1:14" s="3" customFormat="1" ht="12.2" customHeight="1" x14ac:dyDescent="0.15">
      <c r="A321" s="1" t="s">
        <v>444</v>
      </c>
      <c r="B321" s="2" t="s">
        <v>359</v>
      </c>
      <c r="C321" s="2" t="s">
        <v>296</v>
      </c>
      <c r="D321" s="2" t="s">
        <v>431</v>
      </c>
      <c r="E321" s="6">
        <v>2300</v>
      </c>
      <c r="F321" s="18"/>
      <c r="G321" s="18"/>
      <c r="H321" s="18">
        <f>1380.87</f>
        <v>1380.87</v>
      </c>
      <c r="I321" s="18">
        <f>27.36</f>
        <v>27.36</v>
      </c>
      <c r="J321" s="18"/>
      <c r="K321" s="18"/>
      <c r="L321" s="19">
        <f t="shared" si="16"/>
        <v>1408.2299999999998</v>
      </c>
      <c r="M321" s="8"/>
      <c r="N321" s="266"/>
    </row>
    <row r="322" spans="1:14" s="3" customFormat="1" ht="12.2" customHeight="1" x14ac:dyDescent="0.15">
      <c r="A322" s="1" t="s">
        <v>445</v>
      </c>
      <c r="B322" s="2" t="s">
        <v>359</v>
      </c>
      <c r="C322" s="2" t="s">
        <v>297</v>
      </c>
      <c r="D322" s="2" t="s">
        <v>431</v>
      </c>
      <c r="E322" s="6">
        <v>2400</v>
      </c>
      <c r="F322" s="18">
        <f>13500</f>
        <v>13500</v>
      </c>
      <c r="G322" s="18">
        <f>10880.04</f>
        <v>10880.04</v>
      </c>
      <c r="H322" s="18">
        <f>1128.24</f>
        <v>1128.24</v>
      </c>
      <c r="I322" s="18"/>
      <c r="J322" s="18"/>
      <c r="K322" s="18">
        <f>60.84</f>
        <v>60.84</v>
      </c>
      <c r="L322" s="19">
        <f t="shared" si="16"/>
        <v>25569.120000000003</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93466.83</v>
      </c>
      <c r="G328" s="42">
        <f t="shared" si="17"/>
        <v>30196.899999999998</v>
      </c>
      <c r="H328" s="42">
        <f t="shared" si="17"/>
        <v>84091.7</v>
      </c>
      <c r="I328" s="42">
        <f t="shared" si="17"/>
        <v>21209.61</v>
      </c>
      <c r="J328" s="42">
        <f t="shared" si="17"/>
        <v>2824.9700000000003</v>
      </c>
      <c r="K328" s="42">
        <f t="shared" si="17"/>
        <v>7091.08</v>
      </c>
      <c r="L328" s="41">
        <f t="shared" si="17"/>
        <v>238881.09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f>9470</f>
        <v>9470</v>
      </c>
      <c r="G333" s="18">
        <f>724.49</f>
        <v>724.49</v>
      </c>
      <c r="H333" s="18"/>
      <c r="I333" s="18">
        <f>6405.32</f>
        <v>6405.32</v>
      </c>
      <c r="J333" s="18">
        <f>349.99</f>
        <v>349.99</v>
      </c>
      <c r="K333" s="18"/>
      <c r="L333" s="19">
        <f t="shared" si="18"/>
        <v>16949.8</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9470</v>
      </c>
      <c r="G337" s="41">
        <f t="shared" si="19"/>
        <v>724.49</v>
      </c>
      <c r="H337" s="41">
        <f t="shared" si="19"/>
        <v>0</v>
      </c>
      <c r="I337" s="41">
        <f t="shared" si="19"/>
        <v>6405.32</v>
      </c>
      <c r="J337" s="41">
        <f t="shared" si="19"/>
        <v>349.99</v>
      </c>
      <c r="K337" s="41">
        <f t="shared" si="19"/>
        <v>0</v>
      </c>
      <c r="L337" s="41">
        <f t="shared" si="18"/>
        <v>16949.8</v>
      </c>
      <c r="M337" s="8"/>
      <c r="N337" s="266"/>
    </row>
    <row r="338" spans="1:43" s="3" customFormat="1" ht="12.2" customHeight="1" thickTop="1" x14ac:dyDescent="0.15">
      <c r="A338" s="38" t="s">
        <v>468</v>
      </c>
      <c r="B338" s="40">
        <v>14</v>
      </c>
      <c r="C338" s="40">
        <v>7</v>
      </c>
      <c r="D338" s="39" t="s">
        <v>431</v>
      </c>
      <c r="E338" s="40"/>
      <c r="F338" s="41">
        <f t="shared" ref="F338:L338" si="20">F290+F309+F328+F337</f>
        <v>502691.76</v>
      </c>
      <c r="G338" s="41">
        <f t="shared" si="20"/>
        <v>145259.75</v>
      </c>
      <c r="H338" s="41">
        <f t="shared" si="20"/>
        <v>225731.94</v>
      </c>
      <c r="I338" s="41">
        <f t="shared" si="20"/>
        <v>60094.49</v>
      </c>
      <c r="J338" s="41">
        <f t="shared" si="20"/>
        <v>5301.01</v>
      </c>
      <c r="K338" s="41">
        <f t="shared" si="20"/>
        <v>17199.239999999998</v>
      </c>
      <c r="L338" s="41">
        <f t="shared" si="20"/>
        <v>956278.19000000006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4"/>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SUM(F347:K347)</f>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502691.76</v>
      </c>
      <c r="G352" s="41">
        <f>G338</f>
        <v>145259.75</v>
      </c>
      <c r="H352" s="41">
        <f>H338</f>
        <v>225731.94</v>
      </c>
      <c r="I352" s="41">
        <f>I338</f>
        <v>60094.49</v>
      </c>
      <c r="J352" s="41">
        <f>J338</f>
        <v>5301.01</v>
      </c>
      <c r="K352" s="47">
        <f>K338+K351</f>
        <v>17199.239999999998</v>
      </c>
      <c r="L352" s="41">
        <f>L338+L351</f>
        <v>956278.19000000006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218485.55-I358-J358</f>
        <v>112189.07999999999</v>
      </c>
      <c r="I358" s="18">
        <f>104817.35</f>
        <v>104817.35</v>
      </c>
      <c r="J358" s="18">
        <f>1479.12</f>
        <v>1479.12</v>
      </c>
      <c r="K358" s="18"/>
      <c r="L358" s="13">
        <f>SUM(F358:K358)</f>
        <v>218485.55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f>181030.8-I359-J359</f>
        <v>92168.00999999998</v>
      </c>
      <c r="I359" s="18">
        <f>86848.66+937.32-148.75</f>
        <v>87637.23000000001</v>
      </c>
      <c r="J359" s="18">
        <f>1225.56</f>
        <v>1225.56</v>
      </c>
      <c r="K359" s="18"/>
      <c r="L359" s="19">
        <f>SUM(F359:K359)</f>
        <v>181030.8</v>
      </c>
      <c r="M359" s="8"/>
      <c r="N359" s="266"/>
    </row>
    <row r="360" spans="1:22" s="3" customFormat="1" ht="12.2" customHeight="1" x14ac:dyDescent="0.15">
      <c r="A360" s="3" t="s">
        <v>543</v>
      </c>
      <c r="B360" s="2" t="s">
        <v>366</v>
      </c>
      <c r="C360" s="6">
        <v>3</v>
      </c>
      <c r="D360" s="2" t="s">
        <v>431</v>
      </c>
      <c r="E360" s="6"/>
      <c r="F360" s="18"/>
      <c r="G360" s="18"/>
      <c r="H360" s="18">
        <f>224727.89-I360-J360-1534.81</f>
        <v>113859.56000000001</v>
      </c>
      <c r="I360" s="18">
        <f>107812.13</f>
        <v>107812.13</v>
      </c>
      <c r="J360" s="18">
        <f>1521.39</f>
        <v>1521.39</v>
      </c>
      <c r="K360" s="18"/>
      <c r="L360" s="19">
        <f>SUM(F360:K360)</f>
        <v>223193.08000000002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318216.64999999997</v>
      </c>
      <c r="I362" s="47">
        <f t="shared" si="22"/>
        <v>300266.71000000002</v>
      </c>
      <c r="J362" s="47">
        <f t="shared" si="22"/>
        <v>4226.07</v>
      </c>
      <c r="K362" s="47">
        <f t="shared" si="22"/>
        <v>0</v>
      </c>
      <c r="L362" s="47">
        <f t="shared" si="22"/>
        <v>622709.42999999993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82307.399999999994</v>
      </c>
      <c r="G367" s="18">
        <v>68197.56</v>
      </c>
      <c r="H367" s="18">
        <v>84659.04</v>
      </c>
      <c r="I367" s="56">
        <f>SUM(F367:H367)</f>
        <v>235164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22509.95</v>
      </c>
      <c r="G368" s="63">
        <v>18651.099999999999</v>
      </c>
      <c r="H368" s="63">
        <f>23153.09+788.57</f>
        <v>23941.66</v>
      </c>
      <c r="I368" s="56">
        <f>SUM(F368:H368)</f>
        <v>65102.710000000006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104817.34999999999</v>
      </c>
      <c r="G369" s="47">
        <f>SUM(G367:G368)</f>
        <v>86848.66</v>
      </c>
      <c r="H369" s="47">
        <f>SUM(H367:H368)</f>
        <v>108600.7</v>
      </c>
      <c r="I369" s="47">
        <f>SUM(I367:I368)</f>
        <v>300266.71000000002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f>228495.24</f>
        <v>228495.24</v>
      </c>
      <c r="I378" s="18"/>
      <c r="J378" s="18"/>
      <c r="K378" s="18"/>
      <c r="L378" s="13">
        <f t="shared" si="23"/>
        <v>228495.24</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228495.24</v>
      </c>
      <c r="I382" s="41">
        <f t="shared" si="24"/>
        <v>0</v>
      </c>
      <c r="J382" s="47">
        <f t="shared" si="24"/>
        <v>0</v>
      </c>
      <c r="K382" s="47">
        <f t="shared" si="24"/>
        <v>0</v>
      </c>
      <c r="L382" s="47">
        <f t="shared" si="24"/>
        <v>228495.24</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f>23760.15-2691.97</f>
        <v>21068.18</v>
      </c>
      <c r="I388" s="18"/>
      <c r="J388" s="24" t="s">
        <v>288</v>
      </c>
      <c r="K388" s="24" t="s">
        <v>288</v>
      </c>
      <c r="L388" s="56">
        <f t="shared" si="25"/>
        <v>21068.18</v>
      </c>
      <c r="M388" s="8"/>
      <c r="N388" s="266"/>
    </row>
    <row r="389" spans="1:14" s="3" customFormat="1" ht="12.2" customHeight="1" x14ac:dyDescent="0.15">
      <c r="A389" s="79" t="s">
        <v>552</v>
      </c>
      <c r="B389" s="2" t="s">
        <v>381</v>
      </c>
      <c r="C389" s="6">
        <v>3</v>
      </c>
      <c r="D389" s="2" t="s">
        <v>432</v>
      </c>
      <c r="E389" s="6"/>
      <c r="F389" s="18"/>
      <c r="G389" s="18">
        <v>300000</v>
      </c>
      <c r="H389" s="18">
        <f>20891.64-2618.12</f>
        <v>18273.52</v>
      </c>
      <c r="I389" s="18"/>
      <c r="J389" s="24" t="s">
        <v>288</v>
      </c>
      <c r="K389" s="24" t="s">
        <v>288</v>
      </c>
      <c r="L389" s="56">
        <f t="shared" si="25"/>
        <v>318273.52</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300000</v>
      </c>
      <c r="H393" s="139">
        <f>SUM(H387:H392)</f>
        <v>39341.699999999997</v>
      </c>
      <c r="I393" s="65">
        <f>SUM(I387:I392)</f>
        <v>0</v>
      </c>
      <c r="J393" s="45" t="s">
        <v>288</v>
      </c>
      <c r="K393" s="45" t="s">
        <v>288</v>
      </c>
      <c r="L393" s="47">
        <f>SUM(L387:L392)</f>
        <v>339341.7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300000</v>
      </c>
      <c r="H397" s="18">
        <f>8030.78-898.21</f>
        <v>7132.57</v>
      </c>
      <c r="I397" s="18"/>
      <c r="J397" s="24" t="s">
        <v>288</v>
      </c>
      <c r="K397" s="24" t="s">
        <v>288</v>
      </c>
      <c r="L397" s="56">
        <f t="shared" si="26"/>
        <v>307132.57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f>3798.95-3243.18</f>
        <v>555.77</v>
      </c>
      <c r="I399" s="18"/>
      <c r="J399" s="24" t="s">
        <v>288</v>
      </c>
      <c r="K399" s="24" t="s">
        <v>288</v>
      </c>
      <c r="L399" s="56">
        <f t="shared" si="26"/>
        <v>555.77</v>
      </c>
      <c r="M399" s="8"/>
      <c r="N399" s="266"/>
    </row>
    <row r="400" spans="1:14" s="3" customFormat="1" ht="12.2" customHeight="1" thickBot="1" x14ac:dyDescent="0.2">
      <c r="A400" s="79" t="s">
        <v>510</v>
      </c>
      <c r="B400" s="2" t="s">
        <v>381</v>
      </c>
      <c r="C400" s="6">
        <v>13</v>
      </c>
      <c r="D400" s="2" t="s">
        <v>432</v>
      </c>
      <c r="E400" s="6"/>
      <c r="F400" s="18"/>
      <c r="G400" s="18"/>
      <c r="H400" s="18">
        <f>1044.86-109.68</f>
        <v>935.17999999999984</v>
      </c>
      <c r="I400" s="18"/>
      <c r="J400" s="24" t="s">
        <v>288</v>
      </c>
      <c r="K400" s="24" t="s">
        <v>288</v>
      </c>
      <c r="L400" s="56">
        <f t="shared" si="26"/>
        <v>935.17999999999984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300000</v>
      </c>
      <c r="H401" s="47">
        <f>SUM(H395:H400)</f>
        <v>8623.52</v>
      </c>
      <c r="I401" s="47">
        <f>SUM(I395:I400)</f>
        <v>0</v>
      </c>
      <c r="J401" s="45" t="s">
        <v>288</v>
      </c>
      <c r="K401" s="45" t="s">
        <v>288</v>
      </c>
      <c r="L401" s="47">
        <f>SUM(L395:L400)</f>
        <v>308623.52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600000</v>
      </c>
      <c r="H408" s="47">
        <f>H393+H401+H407</f>
        <v>47965.22</v>
      </c>
      <c r="I408" s="47">
        <f>I393+I401+I407</f>
        <v>0</v>
      </c>
      <c r="J408" s="24" t="s">
        <v>288</v>
      </c>
      <c r="K408" s="24" t="s">
        <v>288</v>
      </c>
      <c r="L408" s="47">
        <f>L393+L401+L407</f>
        <v>647965.22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f>2691.97</f>
        <v>2691.97</v>
      </c>
      <c r="I414" s="18"/>
      <c r="J414" s="18"/>
      <c r="K414" s="18">
        <v>1098000</v>
      </c>
      <c r="L414" s="56">
        <f t="shared" si="27"/>
        <v>1100691.97</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f>70000+30046.77+1426.89+3441.93+1398.83-2797.66</f>
        <v>103516.76</v>
      </c>
      <c r="I415" s="18"/>
      <c r="J415" s="18"/>
      <c r="K415" s="18"/>
      <c r="L415" s="56">
        <f t="shared" si="27"/>
        <v>103516.76</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v>171556.15</v>
      </c>
      <c r="I417" s="18"/>
      <c r="J417" s="18"/>
      <c r="K417" s="18"/>
      <c r="L417" s="56">
        <f t="shared" si="27"/>
        <v>171556.15</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277764.88</v>
      </c>
      <c r="I419" s="139">
        <f t="shared" si="28"/>
        <v>0</v>
      </c>
      <c r="J419" s="139">
        <f t="shared" si="28"/>
        <v>0</v>
      </c>
      <c r="K419" s="139">
        <f t="shared" si="28"/>
        <v>1098000</v>
      </c>
      <c r="L419" s="47">
        <f t="shared" si="28"/>
        <v>1375764.88</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v>613.91999999999996</v>
      </c>
      <c r="I423" s="18"/>
      <c r="J423" s="18"/>
      <c r="K423" s="18"/>
      <c r="L423" s="56">
        <f t="shared" si="29"/>
        <v>613.91999999999996</v>
      </c>
      <c r="M423" s="8"/>
      <c r="N423" s="266"/>
    </row>
    <row r="424" spans="1:21" s="3" customFormat="1" ht="12.2" customHeight="1" x14ac:dyDescent="0.15">
      <c r="A424" s="79" t="s">
        <v>558</v>
      </c>
      <c r="B424" s="6">
        <v>17</v>
      </c>
      <c r="C424" s="6">
        <v>11</v>
      </c>
      <c r="D424" s="2" t="s">
        <v>432</v>
      </c>
      <c r="E424" s="6"/>
      <c r="F424" s="18"/>
      <c r="G424" s="18"/>
      <c r="H424" s="18" t="s">
        <v>286</v>
      </c>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v>220.97</v>
      </c>
      <c r="I425" s="18"/>
      <c r="J425" s="18"/>
      <c r="K425" s="18"/>
      <c r="L425" s="56">
        <f t="shared" si="29"/>
        <v>220.97</v>
      </c>
      <c r="M425" s="8"/>
      <c r="N425" s="266"/>
    </row>
    <row r="426" spans="1:21" s="3" customFormat="1" ht="12.2" customHeight="1" thickBot="1" x14ac:dyDescent="0.2">
      <c r="A426" s="79" t="s">
        <v>510</v>
      </c>
      <c r="B426" s="6">
        <v>17</v>
      </c>
      <c r="C426" s="6">
        <v>13</v>
      </c>
      <c r="D426" s="2" t="s">
        <v>432</v>
      </c>
      <c r="E426" s="6"/>
      <c r="F426" s="18"/>
      <c r="G426" s="18"/>
      <c r="H426" s="18">
        <v>54.69</v>
      </c>
      <c r="I426" s="18"/>
      <c r="J426" s="18"/>
      <c r="K426" s="18"/>
      <c r="L426" s="56">
        <f t="shared" si="29"/>
        <v>54.69</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889.57999999999993</v>
      </c>
      <c r="I427" s="47">
        <f t="shared" si="30"/>
        <v>0</v>
      </c>
      <c r="J427" s="47">
        <f t="shared" si="30"/>
        <v>0</v>
      </c>
      <c r="K427" s="47">
        <f t="shared" si="30"/>
        <v>0</v>
      </c>
      <c r="L427" s="47">
        <f t="shared" si="30"/>
        <v>889.57999999999993</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278654.46000000002</v>
      </c>
      <c r="I434" s="47">
        <f t="shared" si="32"/>
        <v>0</v>
      </c>
      <c r="J434" s="47">
        <f t="shared" si="32"/>
        <v>0</v>
      </c>
      <c r="K434" s="47">
        <f t="shared" si="32"/>
        <v>1098000</v>
      </c>
      <c r="L434" s="47">
        <f t="shared" si="32"/>
        <v>1376654.46</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f>3209982.97</f>
        <v>3209982.97</v>
      </c>
      <c r="G440" s="18"/>
      <c r="H440" s="18"/>
      <c r="I440" s="56">
        <f>SUM(F440:H440)</f>
        <v>3209982.97</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4"/>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3209982.97</v>
      </c>
      <c r="G446" s="13">
        <f>SUM(G439:G445)</f>
        <v>0</v>
      </c>
      <c r="H446" s="13">
        <f>SUM(H439:H445)</f>
        <v>0</v>
      </c>
      <c r="I446" s="13">
        <f>SUM(I439:I445)</f>
        <v>3209982.97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1098000</v>
      </c>
      <c r="G449" s="18"/>
      <c r="H449" s="18"/>
      <c r="I449" s="56">
        <f>SUM(F449:H449)</f>
        <v>1098000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1098000</v>
      </c>
      <c r="G452" s="72">
        <f>SUM(G448:G451)</f>
        <v>0</v>
      </c>
      <c r="H452" s="72">
        <f>SUM(H448:H451)</f>
        <v>0</v>
      </c>
      <c r="I452" s="72">
        <f>SUM(I448:I451)</f>
        <v>1098000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F440-F449</f>
        <v>2111982.9700000002</v>
      </c>
      <c r="G459" s="18"/>
      <c r="H459" s="18"/>
      <c r="I459" s="56">
        <f t="shared" si="34"/>
        <v>2111982.9700000002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2111982.9700000002</v>
      </c>
      <c r="G460" s="83">
        <f>SUM(G454:G459)</f>
        <v>0</v>
      </c>
      <c r="H460" s="83">
        <f>SUM(H454:H459)</f>
        <v>0</v>
      </c>
      <c r="I460" s="83">
        <f>SUM(I454:I459)</f>
        <v>2111982.9700000002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3209982.97</v>
      </c>
      <c r="G461" s="42">
        <f>G452+G460</f>
        <v>0</v>
      </c>
      <c r="H461" s="42">
        <f>H452+H460</f>
        <v>0</v>
      </c>
      <c r="I461" s="42">
        <f>I452+I460</f>
        <v>3209982.97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3035448.43</v>
      </c>
      <c r="G465" s="18">
        <v>40762.730000000003</v>
      </c>
      <c r="H465" s="18">
        <v>141368.01</v>
      </c>
      <c r="I465" s="18">
        <v>0</v>
      </c>
      <c r="J465" s="18">
        <v>2840672.21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40975347.739999995</v>
      </c>
      <c r="G468" s="18">
        <f>G193</f>
        <v>617245.80000000005</v>
      </c>
      <c r="H468" s="18">
        <f>H193</f>
        <v>1010770.3300000001</v>
      </c>
      <c r="I468" s="18">
        <v>1098000</v>
      </c>
      <c r="J468" s="18">
        <f>J193</f>
        <v>647965.22</v>
      </c>
      <c r="K468" s="24" t="s">
        <v>288</v>
      </c>
      <c r="L468" s="24" t="s">
        <v>288</v>
      </c>
      <c r="N468" s="265"/>
    </row>
    <row r="469" spans="1:14" s="52" customFormat="1" ht="12.2" customHeight="1" x14ac:dyDescent="0.2">
      <c r="A469" s="93" t="s">
        <v>611</v>
      </c>
      <c r="B469" s="75">
        <v>19</v>
      </c>
      <c r="C469" s="80">
        <v>3</v>
      </c>
      <c r="D469" s="2" t="s">
        <v>432</v>
      </c>
      <c r="E469" s="80"/>
      <c r="F469" s="18">
        <f>68772.15-34358.33</f>
        <v>34413.819999999992</v>
      </c>
      <c r="G469" s="18">
        <v>1903.63</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41009761.559999995</v>
      </c>
      <c r="G470" s="53">
        <f>SUM(G468:G469)</f>
        <v>619149.43000000005</v>
      </c>
      <c r="H470" s="53">
        <f>SUM(H468:H469)</f>
        <v>1010770.3300000001</v>
      </c>
      <c r="I470" s="53">
        <f>SUM(I468:I469)</f>
        <v>1098000</v>
      </c>
      <c r="J470" s="53">
        <f>SUM(J468:J469)</f>
        <v>647965.22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40820547.330000013</v>
      </c>
      <c r="G472" s="18">
        <f>L362</f>
        <v>622709.42999999993</v>
      </c>
      <c r="H472" s="18">
        <f>L352</f>
        <v>956278.19000000006</v>
      </c>
      <c r="I472" s="18">
        <f>L382</f>
        <v>228495.24</v>
      </c>
      <c r="J472" s="18">
        <f>L434</f>
        <v>1376654.46</v>
      </c>
      <c r="K472" s="24" t="s">
        <v>288</v>
      </c>
      <c r="L472" s="24" t="s">
        <v>288</v>
      </c>
      <c r="N472" s="265"/>
    </row>
    <row r="473" spans="1:14" s="52" customFormat="1" ht="12.2" customHeight="1" x14ac:dyDescent="0.2">
      <c r="A473" s="93" t="s">
        <v>613</v>
      </c>
      <c r="B473" s="75">
        <v>19</v>
      </c>
      <c r="C473" s="80">
        <v>6</v>
      </c>
      <c r="D473" s="2" t="s">
        <v>432</v>
      </c>
      <c r="E473" s="80"/>
      <c r="F473" s="18"/>
      <c r="G473" s="18"/>
      <c r="H473" s="18">
        <v>7476.61</v>
      </c>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40820547.330000013</v>
      </c>
      <c r="G474" s="53">
        <f>SUM(G472:G473)</f>
        <v>622709.42999999993</v>
      </c>
      <c r="H474" s="53">
        <f>SUM(H472:H473)</f>
        <v>963754.8</v>
      </c>
      <c r="I474" s="53">
        <f>SUM(I472:I473)</f>
        <v>228495.24</v>
      </c>
      <c r="J474" s="53">
        <f>SUM(J472:J473)</f>
        <v>1376654.46</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3224662.6599999815</v>
      </c>
      <c r="G476" s="53">
        <f>(G465+G470)- G474</f>
        <v>37202.730000000098</v>
      </c>
      <c r="H476" s="53">
        <f>(H465+H470)- H474</f>
        <v>188383.54000000004</v>
      </c>
      <c r="I476" s="53">
        <f>(I465+I470)- I474</f>
        <v>869504.76</v>
      </c>
      <c r="J476" s="53">
        <f>(J465+J470)- J474</f>
        <v>2111982.9699999997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23650600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3.38</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16545000</v>
      </c>
      <c r="G495" s="18"/>
      <c r="H495" s="18"/>
      <c r="I495" s="18"/>
      <c r="J495" s="18"/>
      <c r="K495" s="53">
        <f>SUM(F495:J495)</f>
        <v>16545000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1185000</v>
      </c>
      <c r="G497" s="18"/>
      <c r="H497" s="18"/>
      <c r="I497" s="18"/>
      <c r="J497" s="18"/>
      <c r="K497" s="53">
        <f t="shared" si="35"/>
        <v>1185000</v>
      </c>
      <c r="L497" s="24" t="s">
        <v>288</v>
      </c>
      <c r="N497" s="265"/>
    </row>
    <row r="498" spans="1:14" s="52" customFormat="1" ht="12.2" customHeight="1" x14ac:dyDescent="0.2">
      <c r="A498" s="200" t="s">
        <v>622</v>
      </c>
      <c r="B498" s="201">
        <v>20</v>
      </c>
      <c r="C498" s="202">
        <v>9</v>
      </c>
      <c r="D498" s="203" t="s">
        <v>432</v>
      </c>
      <c r="E498" s="202"/>
      <c r="F498" s="204">
        <f>F495-F497</f>
        <v>15360000</v>
      </c>
      <c r="G498" s="204"/>
      <c r="H498" s="204"/>
      <c r="I498" s="204"/>
      <c r="J498" s="204"/>
      <c r="K498" s="205">
        <f t="shared" si="35"/>
        <v>15360000</v>
      </c>
      <c r="L498" s="206" t="s">
        <v>288</v>
      </c>
      <c r="N498" s="265"/>
    </row>
    <row r="499" spans="1:14" s="52" customFormat="1" ht="12.2" customHeight="1" thickBot="1" x14ac:dyDescent="0.25">
      <c r="A499" s="22" t="s">
        <v>623</v>
      </c>
      <c r="B499" s="75">
        <v>20</v>
      </c>
      <c r="C499" s="115">
        <v>10</v>
      </c>
      <c r="D499" s="2" t="s">
        <v>432</v>
      </c>
      <c r="E499" s="115"/>
      <c r="F499" s="18">
        <f>4888050-611450</f>
        <v>4276600</v>
      </c>
      <c r="G499" s="18"/>
      <c r="H499" s="18"/>
      <c r="I499" s="18"/>
      <c r="J499" s="18"/>
      <c r="K499" s="53">
        <f t="shared" si="35"/>
        <v>4276600</v>
      </c>
      <c r="L499" s="24" t="s">
        <v>288</v>
      </c>
      <c r="N499" s="265"/>
    </row>
    <row r="500" spans="1:14" s="52" customFormat="1" ht="12.2" customHeight="1" thickTop="1" x14ac:dyDescent="0.2">
      <c r="A500" s="139" t="s">
        <v>624</v>
      </c>
      <c r="B500" s="44">
        <v>20</v>
      </c>
      <c r="C500" s="195">
        <v>11</v>
      </c>
      <c r="D500" s="39" t="s">
        <v>432</v>
      </c>
      <c r="E500" s="195"/>
      <c r="F500" s="42">
        <f>SUM(F498:F499)</f>
        <v>19636600</v>
      </c>
      <c r="G500" s="42">
        <f>SUM(G498:G499)</f>
        <v>0</v>
      </c>
      <c r="H500" s="42">
        <f>SUM(H498:H499)</f>
        <v>0</v>
      </c>
      <c r="I500" s="42">
        <f>SUM(I498:I499)</f>
        <v>0</v>
      </c>
      <c r="J500" s="42">
        <f>SUM(J498:J499)</f>
        <v>0</v>
      </c>
      <c r="K500" s="42">
        <f t="shared" si="35"/>
        <v>19636600</v>
      </c>
      <c r="L500" s="45" t="s">
        <v>288</v>
      </c>
      <c r="N500" s="265"/>
    </row>
    <row r="501" spans="1:14" s="52" customFormat="1" ht="12.2" customHeight="1" x14ac:dyDescent="0.2">
      <c r="A501" s="200" t="s">
        <v>651</v>
      </c>
      <c r="B501" s="201">
        <v>20</v>
      </c>
      <c r="C501" s="202">
        <v>12</v>
      </c>
      <c r="D501" s="203" t="s">
        <v>432</v>
      </c>
      <c r="E501" s="202"/>
      <c r="F501" s="204">
        <v>1185000</v>
      </c>
      <c r="G501" s="204"/>
      <c r="H501" s="204"/>
      <c r="I501" s="204"/>
      <c r="J501" s="204"/>
      <c r="K501" s="205">
        <f t="shared" si="35"/>
        <v>1185000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1185000</v>
      </c>
      <c r="G503" s="42">
        <f>SUM(G501:G502)</f>
        <v>0</v>
      </c>
      <c r="H503" s="42">
        <f>SUM(H501:H502)</f>
        <v>0</v>
      </c>
      <c r="I503" s="42">
        <f>SUM(I501:I502)</f>
        <v>0</v>
      </c>
      <c r="J503" s="42">
        <f>SUM(J501:J502)</f>
        <v>0</v>
      </c>
      <c r="K503" s="42">
        <f t="shared" si="35"/>
        <v>1185000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526616.65+701280.6+133007.3</f>
        <v>1360904.55</v>
      </c>
      <c r="G521" s="18">
        <f>386108.66+585084.97</f>
        <v>971193.62999999989</v>
      </c>
      <c r="H521" s="18">
        <f>104373.11+189524.88+44260.78</f>
        <v>338158.77</v>
      </c>
      <c r="I521" s="18">
        <f>3349.95+3328.93+1933.35-957.91</f>
        <v>7654.32</v>
      </c>
      <c r="J521" s="18">
        <f>8632.3+2118.6+662.03</f>
        <v>11412.93</v>
      </c>
      <c r="K521" s="18">
        <f>1324.73</f>
        <v>1324.73</v>
      </c>
      <c r="L521" s="88">
        <f>SUM(F521:K521)</f>
        <v>2690648.9299999997</v>
      </c>
      <c r="N521" s="265"/>
    </row>
    <row r="522" spans="1:14" s="52" customFormat="1" ht="12.2" customHeight="1" x14ac:dyDescent="0.2">
      <c r="A522" s="22" t="s">
        <v>634</v>
      </c>
      <c r="B522" s="105">
        <v>21</v>
      </c>
      <c r="C522" s="115">
        <v>2</v>
      </c>
      <c r="D522" s="2" t="s">
        <v>432</v>
      </c>
      <c r="E522" s="115"/>
      <c r="F522" s="18">
        <f>770979.65+110206.1</f>
        <v>881185.75</v>
      </c>
      <c r="G522" s="18">
        <f>601204.58</f>
        <v>601204.57999999996</v>
      </c>
      <c r="H522" s="18">
        <f>203511.24+36673.22</f>
        <v>240184.46</v>
      </c>
      <c r="I522" s="18">
        <f>13365.73+1601.92</f>
        <v>14967.65</v>
      </c>
      <c r="J522" s="18">
        <f>34.99+548.54</f>
        <v>583.53</v>
      </c>
      <c r="K522" s="18">
        <f>171.78+1100.12</f>
        <v>1271.8999999999999</v>
      </c>
      <c r="L522" s="88">
        <f>SUM(F522:K522)</f>
        <v>1739397.8699999999</v>
      </c>
      <c r="N522" s="265"/>
    </row>
    <row r="523" spans="1:14" s="52" customFormat="1" ht="12.2" customHeight="1" thickBot="1" x14ac:dyDescent="0.25">
      <c r="A523" s="22" t="s">
        <v>635</v>
      </c>
      <c r="B523" s="105">
        <v>21</v>
      </c>
      <c r="C523" s="115">
        <v>3</v>
      </c>
      <c r="D523" s="2" t="s">
        <v>432</v>
      </c>
      <c r="E523" s="115"/>
      <c r="F523" s="18">
        <f>586696.7+136807.6</f>
        <v>723504.29999999993</v>
      </c>
      <c r="G523" s="18">
        <f>456720.1</f>
        <v>456720.1</v>
      </c>
      <c r="H523" s="18">
        <f>1219612.54+45525.38</f>
        <v>1265137.92</v>
      </c>
      <c r="I523" s="18">
        <f>7980.45+1988.59</f>
        <v>9969.0399999999991</v>
      </c>
      <c r="J523" s="18">
        <f>680.94</f>
        <v>680.94</v>
      </c>
      <c r="K523" s="18">
        <f>1365.66</f>
        <v>1365.66</v>
      </c>
      <c r="L523" s="88">
        <f>SUM(F523:K523)</f>
        <v>2457377.96</v>
      </c>
      <c r="N523" s="265"/>
    </row>
    <row r="524" spans="1:14" s="52" customFormat="1" ht="12.2" customHeight="1" thickTop="1" x14ac:dyDescent="0.2">
      <c r="A524" s="139" t="s">
        <v>63</v>
      </c>
      <c r="B524" s="107">
        <v>21</v>
      </c>
      <c r="C524" s="195">
        <v>4</v>
      </c>
      <c r="D524" s="196" t="s">
        <v>432</v>
      </c>
      <c r="E524" s="195"/>
      <c r="F524" s="108">
        <f>SUM(F521:F523)</f>
        <v>2965594.5999999996</v>
      </c>
      <c r="G524" s="108">
        <f t="shared" ref="G524:L524" si="36">SUM(G521:G523)</f>
        <v>2029118.31</v>
      </c>
      <c r="H524" s="108">
        <f>SUM(H521:H523)</f>
        <v>1843481.15</v>
      </c>
      <c r="I524" s="108">
        <f>SUM(I521:I523)</f>
        <v>32591.010000000002</v>
      </c>
      <c r="J524" s="108">
        <f t="shared" si="36"/>
        <v>12677.400000000001</v>
      </c>
      <c r="K524" s="108">
        <f t="shared" si="36"/>
        <v>3962.29</v>
      </c>
      <c r="L524" s="89">
        <f t="shared" si="36"/>
        <v>6887424.7599999998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215887+138112+120708.9+12298.49+14479.92-27584.2</f>
        <v>473902.11</v>
      </c>
      <c r="G526" s="18">
        <v>110043</v>
      </c>
      <c r="H526" s="18">
        <f>90614.3</f>
        <v>90614.3</v>
      </c>
      <c r="I526" s="18">
        <f>2801.74+4059.91+1316.9</f>
        <v>8178.5499999999993</v>
      </c>
      <c r="J526" s="18"/>
      <c r="K526" s="18"/>
      <c r="L526" s="88">
        <f>SUM(F526:K526)</f>
        <v>682737.96000000008</v>
      </c>
      <c r="M526" s="8"/>
      <c r="N526" s="266"/>
    </row>
    <row r="527" spans="1:14" s="3" customFormat="1" ht="12.2" customHeight="1" x14ac:dyDescent="0.15">
      <c r="A527" s="22" t="s">
        <v>634</v>
      </c>
      <c r="B527" s="105">
        <v>21</v>
      </c>
      <c r="C527" s="115">
        <v>6</v>
      </c>
      <c r="D527" s="2" t="s">
        <v>432</v>
      </c>
      <c r="E527" s="115"/>
      <c r="F527" s="18">
        <f>141397.7+100015.9+10190.18+11997.65-22855.48</f>
        <v>240745.94999999998</v>
      </c>
      <c r="G527" s="18">
        <f>91178.47</f>
        <v>91178.47</v>
      </c>
      <c r="H527" s="18">
        <f>75080.42+3174.13</f>
        <v>78254.55</v>
      </c>
      <c r="I527" s="18">
        <f>2321.44+957.91</f>
        <v>3279.35</v>
      </c>
      <c r="J527" s="18"/>
      <c r="K527" s="18"/>
      <c r="L527" s="88">
        <f>SUM(F527:K527)</f>
        <v>413458.31999999995</v>
      </c>
      <c r="M527" s="8"/>
      <c r="N527" s="266"/>
    </row>
    <row r="528" spans="1:14" s="3" customFormat="1" ht="12.2" customHeight="1" thickBot="1" x14ac:dyDescent="0.2">
      <c r="A528" s="22" t="s">
        <v>635</v>
      </c>
      <c r="B528" s="118">
        <v>21</v>
      </c>
      <c r="C528" s="118">
        <v>7</v>
      </c>
      <c r="D528" s="2" t="s">
        <v>432</v>
      </c>
      <c r="E528" s="118"/>
      <c r="F528" s="18">
        <f>93746.52+124157.7+12649.88+14893.63-28372.32</f>
        <v>217075.41</v>
      </c>
      <c r="G528" s="18">
        <f>113187.1</f>
        <v>113187.1</v>
      </c>
      <c r="H528" s="18">
        <f>93203.28</f>
        <v>93203.28</v>
      </c>
      <c r="I528" s="18">
        <f>2881.79</f>
        <v>2881.79</v>
      </c>
      <c r="J528" s="18"/>
      <c r="K528" s="18"/>
      <c r="L528" s="88">
        <f>SUM(F528:K528)</f>
        <v>426347.58</v>
      </c>
      <c r="M528" s="8"/>
      <c r="N528" s="266"/>
    </row>
    <row r="529" spans="1:14" s="3" customFormat="1" ht="12.2" customHeight="1" thickTop="1" x14ac:dyDescent="0.15">
      <c r="A529" s="139" t="s">
        <v>65</v>
      </c>
      <c r="B529" s="107">
        <v>21</v>
      </c>
      <c r="C529" s="107">
        <v>8</v>
      </c>
      <c r="D529" s="158" t="s">
        <v>432</v>
      </c>
      <c r="E529" s="107"/>
      <c r="F529" s="89">
        <f>SUM(F526:F528)</f>
        <v>931723.47</v>
      </c>
      <c r="G529" s="89">
        <f t="shared" ref="G529:L529" si="37">SUM(G526:G528)</f>
        <v>314408.57</v>
      </c>
      <c r="H529" s="89">
        <f>SUM(H526:H528)</f>
        <v>262072.13</v>
      </c>
      <c r="I529" s="89">
        <f>SUM(I526:I528)</f>
        <v>14339.689999999999</v>
      </c>
      <c r="J529" s="89">
        <f t="shared" si="37"/>
        <v>0</v>
      </c>
      <c r="K529" s="89">
        <f t="shared" si="37"/>
        <v>0</v>
      </c>
      <c r="L529" s="89">
        <f t="shared" si="37"/>
        <v>1522543.86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49493.35+27584.2</f>
        <v>77077.55</v>
      </c>
      <c r="G531" s="18">
        <v>19419.349999999999</v>
      </c>
      <c r="H531" s="18"/>
      <c r="I531" s="18"/>
      <c r="J531" s="18"/>
      <c r="K531" s="18"/>
      <c r="L531" s="88">
        <f>SUM(F531:K531)</f>
        <v>96496.9</v>
      </c>
      <c r="M531" s="8"/>
      <c r="N531" s="266"/>
    </row>
    <row r="532" spans="1:14" s="3" customFormat="1" ht="12.2" customHeight="1" x14ac:dyDescent="0.15">
      <c r="A532" s="22" t="s">
        <v>634</v>
      </c>
      <c r="B532" s="105">
        <v>21</v>
      </c>
      <c r="C532" s="105">
        <v>10</v>
      </c>
      <c r="D532" s="2" t="s">
        <v>432</v>
      </c>
      <c r="E532" s="105"/>
      <c r="F532" s="18">
        <f>41008.78+22855.48</f>
        <v>63864.259999999995</v>
      </c>
      <c r="G532" s="18">
        <f>16090.32</f>
        <v>16090.32</v>
      </c>
      <c r="H532" s="18"/>
      <c r="I532" s="18"/>
      <c r="J532" s="18"/>
      <c r="K532" s="18"/>
      <c r="L532" s="88">
        <f>SUM(F532:K532)</f>
        <v>79954.579999999987</v>
      </c>
      <c r="M532" s="8"/>
      <c r="N532" s="266"/>
    </row>
    <row r="533" spans="1:14" s="3" customFormat="1" ht="12.2" customHeight="1" thickBot="1" x14ac:dyDescent="0.2">
      <c r="A533" s="22" t="s">
        <v>635</v>
      </c>
      <c r="B533" s="105">
        <v>21</v>
      </c>
      <c r="C533" s="105">
        <v>11</v>
      </c>
      <c r="D533" s="2" t="s">
        <v>432</v>
      </c>
      <c r="E533" s="105"/>
      <c r="F533" s="18">
        <f>50907.45+28372.32</f>
        <v>79279.76999999999</v>
      </c>
      <c r="G533" s="18">
        <f>19974.19</f>
        <v>19974.189999999999</v>
      </c>
      <c r="H533" s="18"/>
      <c r="I533" s="18"/>
      <c r="J533" s="18"/>
      <c r="K533" s="18"/>
      <c r="L533" s="88">
        <f>SUM(F533:K533)</f>
        <v>99253.959999999992</v>
      </c>
      <c r="M533" s="8"/>
      <c r="N533" s="266"/>
    </row>
    <row r="534" spans="1:14" s="3" customFormat="1" ht="12.2" customHeight="1" thickTop="1" x14ac:dyDescent="0.15">
      <c r="A534" s="139" t="s">
        <v>67</v>
      </c>
      <c r="B534" s="107">
        <v>21</v>
      </c>
      <c r="C534" s="107">
        <v>12</v>
      </c>
      <c r="D534" s="158" t="s">
        <v>432</v>
      </c>
      <c r="E534" s="107"/>
      <c r="F534" s="89">
        <f>SUM(F531:F533)</f>
        <v>220221.58</v>
      </c>
      <c r="G534" s="89">
        <f t="shared" ref="G534:L534" si="38">SUM(G531:G533)</f>
        <v>55483.86</v>
      </c>
      <c r="H534" s="89">
        <f t="shared" si="38"/>
        <v>0</v>
      </c>
      <c r="I534" s="89">
        <f t="shared" si="38"/>
        <v>0</v>
      </c>
      <c r="J534" s="89">
        <f t="shared" si="38"/>
        <v>0</v>
      </c>
      <c r="K534" s="89">
        <f t="shared" si="38"/>
        <v>0</v>
      </c>
      <c r="L534" s="89">
        <f t="shared" si="38"/>
        <v>275705.43999999994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f>1968.33</f>
        <v>1968.33</v>
      </c>
      <c r="I536" s="18"/>
      <c r="J536" s="18"/>
      <c r="K536" s="18"/>
      <c r="L536" s="88">
        <f>SUM(F536:K536)</f>
        <v>1968.33</v>
      </c>
      <c r="M536" s="8"/>
      <c r="N536" s="266"/>
    </row>
    <row r="537" spans="1:14" s="3" customFormat="1" ht="12.2" customHeight="1" x14ac:dyDescent="0.15">
      <c r="A537" s="22" t="s">
        <v>634</v>
      </c>
      <c r="B537" s="105">
        <v>21</v>
      </c>
      <c r="C537" s="105">
        <v>14</v>
      </c>
      <c r="D537" s="2" t="s">
        <v>432</v>
      </c>
      <c r="E537" s="105"/>
      <c r="F537" s="18"/>
      <c r="G537" s="18"/>
      <c r="H537" s="18">
        <f>1630.9</f>
        <v>1630.9</v>
      </c>
      <c r="I537" s="18"/>
      <c r="J537" s="18"/>
      <c r="K537" s="18"/>
      <c r="L537" s="88">
        <f>SUM(F537:K537)</f>
        <v>1630.9</v>
      </c>
      <c r="M537" s="8"/>
      <c r="N537" s="266"/>
    </row>
    <row r="538" spans="1:14" s="3" customFormat="1" ht="12.2" customHeight="1" thickBot="1" x14ac:dyDescent="0.2">
      <c r="A538" s="22" t="s">
        <v>635</v>
      </c>
      <c r="B538" s="105">
        <v>21</v>
      </c>
      <c r="C538" s="105">
        <v>15</v>
      </c>
      <c r="D538" s="2" t="s">
        <v>432</v>
      </c>
      <c r="E538" s="105"/>
      <c r="F538" s="18"/>
      <c r="G538" s="18"/>
      <c r="H538" s="18">
        <f>2024.56</f>
        <v>2024.56</v>
      </c>
      <c r="I538" s="18"/>
      <c r="J538" s="18"/>
      <c r="K538" s="18"/>
      <c r="L538" s="88">
        <f>SUM(F538:K538)</f>
        <v>2024.56</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5623.79</v>
      </c>
      <c r="I539" s="89">
        <f t="shared" si="39"/>
        <v>0</v>
      </c>
      <c r="J539" s="89">
        <f t="shared" si="39"/>
        <v>0</v>
      </c>
      <c r="K539" s="89">
        <f t="shared" si="39"/>
        <v>0</v>
      </c>
      <c r="L539" s="89">
        <f t="shared" si="39"/>
        <v>5623.79</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f>12725.16</f>
        <v>12725.16</v>
      </c>
      <c r="G541" s="18">
        <v>4017.84</v>
      </c>
      <c r="H541" s="18">
        <f>34179</f>
        <v>34179</v>
      </c>
      <c r="I541" s="18">
        <f>5001.36</f>
        <v>5001.3599999999997</v>
      </c>
      <c r="J541" s="18"/>
      <c r="K541" s="18"/>
      <c r="L541" s="88">
        <f>SUM(F541:K541)</f>
        <v>55923.360000000001</v>
      </c>
      <c r="M541" s="8"/>
      <c r="N541" s="266"/>
    </row>
    <row r="542" spans="1:14" s="3" customFormat="1" ht="12.2" customHeight="1" x14ac:dyDescent="0.15">
      <c r="A542" s="22" t="s">
        <v>634</v>
      </c>
      <c r="B542" s="105">
        <v>21</v>
      </c>
      <c r="C542" s="105">
        <v>18</v>
      </c>
      <c r="D542" s="2" t="s">
        <v>432</v>
      </c>
      <c r="E542" s="105"/>
      <c r="F542" s="18">
        <f>10543.71</f>
        <v>10543.71</v>
      </c>
      <c r="G542" s="18">
        <v>3329.07</v>
      </c>
      <c r="H542" s="18">
        <f>28319.74</f>
        <v>28319.74</v>
      </c>
      <c r="I542" s="18">
        <f>4143.99</f>
        <v>4143.99</v>
      </c>
      <c r="J542" s="18"/>
      <c r="K542" s="18"/>
      <c r="L542" s="88">
        <f>SUM(F542:K542)</f>
        <v>46336.51</v>
      </c>
      <c r="M542" s="8"/>
      <c r="N542" s="266"/>
    </row>
    <row r="543" spans="1:14" s="3" customFormat="1" ht="12.2" customHeight="1" thickBot="1" x14ac:dyDescent="0.2">
      <c r="A543" s="22" t="s">
        <v>635</v>
      </c>
      <c r="B543" s="105">
        <v>21</v>
      </c>
      <c r="C543" s="105">
        <v>19</v>
      </c>
      <c r="D543" s="2" t="s">
        <v>432</v>
      </c>
      <c r="E543" s="105"/>
      <c r="F543" s="18">
        <f>13088.74</f>
        <v>13088.74</v>
      </c>
      <c r="G543" s="18">
        <v>4132.6400000000003</v>
      </c>
      <c r="H543" s="18">
        <f>35155.54</f>
        <v>35155.54</v>
      </c>
      <c r="I543" s="18">
        <f>5144.26</f>
        <v>5144.26</v>
      </c>
      <c r="J543" s="18"/>
      <c r="K543" s="18"/>
      <c r="L543" s="88">
        <f>SUM(F543:K543)</f>
        <v>57521.18</v>
      </c>
      <c r="M543" s="8"/>
      <c r="N543" s="266"/>
    </row>
    <row r="544" spans="1:14" s="3" customFormat="1" ht="12.2" customHeight="1" thickTop="1" thickBot="1" x14ac:dyDescent="0.2">
      <c r="A544" s="130" t="s">
        <v>71</v>
      </c>
      <c r="B544" s="191">
        <v>21</v>
      </c>
      <c r="C544" s="191">
        <v>20</v>
      </c>
      <c r="D544" s="192" t="s">
        <v>432</v>
      </c>
      <c r="E544" s="191"/>
      <c r="F544" s="193">
        <f>SUM(F541:F543)</f>
        <v>36357.61</v>
      </c>
      <c r="G544" s="193">
        <f t="shared" ref="G544:L544" si="40">SUM(G541:G543)</f>
        <v>11479.55</v>
      </c>
      <c r="H544" s="193">
        <f t="shared" si="40"/>
        <v>97654.28</v>
      </c>
      <c r="I544" s="193">
        <f t="shared" si="40"/>
        <v>14289.609999999999</v>
      </c>
      <c r="J544" s="193">
        <f t="shared" si="40"/>
        <v>0</v>
      </c>
      <c r="K544" s="193">
        <f t="shared" si="40"/>
        <v>0</v>
      </c>
      <c r="L544" s="193">
        <f t="shared" si="40"/>
        <v>159781.04999999999</v>
      </c>
      <c r="M544" s="8"/>
      <c r="N544" s="266"/>
    </row>
    <row r="545" spans="1:14" s="3" customFormat="1" ht="12.2" customHeight="1" thickTop="1" x14ac:dyDescent="0.15">
      <c r="A545" s="98" t="s">
        <v>72</v>
      </c>
      <c r="B545" s="107">
        <v>21</v>
      </c>
      <c r="C545" s="107">
        <v>21</v>
      </c>
      <c r="D545" s="158" t="s">
        <v>432</v>
      </c>
      <c r="E545" s="107"/>
      <c r="F545" s="89">
        <f>F524+F529+F534+F539+F544</f>
        <v>4153897.2599999993</v>
      </c>
      <c r="G545" s="89">
        <f t="shared" ref="G545:L545" si="41">G524+G529+G534+G539+G544</f>
        <v>2410490.2899999996</v>
      </c>
      <c r="H545" s="89">
        <f t="shared" si="41"/>
        <v>2208831.3499999996</v>
      </c>
      <c r="I545" s="89">
        <f t="shared" si="41"/>
        <v>61220.31</v>
      </c>
      <c r="J545" s="89">
        <f t="shared" si="41"/>
        <v>12677.400000000001</v>
      </c>
      <c r="K545" s="89">
        <f t="shared" si="41"/>
        <v>3962.29</v>
      </c>
      <c r="L545" s="89">
        <f t="shared" si="41"/>
        <v>8851078.8999999985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2690648.9299999997</v>
      </c>
      <c r="G549" s="87">
        <f>L526</f>
        <v>682737.96000000008</v>
      </c>
      <c r="H549" s="87">
        <f>L531</f>
        <v>96496.9</v>
      </c>
      <c r="I549" s="87">
        <f>L536</f>
        <v>1968.33</v>
      </c>
      <c r="J549" s="87">
        <f>L541</f>
        <v>55923.360000000001</v>
      </c>
      <c r="K549" s="87">
        <f>SUM(F549:J549)</f>
        <v>3527775.4799999995</v>
      </c>
      <c r="L549" s="24" t="s">
        <v>288</v>
      </c>
      <c r="M549" s="8"/>
      <c r="N549" s="266"/>
    </row>
    <row r="550" spans="1:14" s="3" customFormat="1" ht="12.2" customHeight="1" x14ac:dyDescent="0.15">
      <c r="A550" s="22" t="s">
        <v>634</v>
      </c>
      <c r="B550" s="75">
        <v>21</v>
      </c>
      <c r="C550" s="75">
        <v>23</v>
      </c>
      <c r="D550" s="2" t="s">
        <v>432</v>
      </c>
      <c r="E550" s="75"/>
      <c r="F550" s="87">
        <f>L522</f>
        <v>1739397.8699999999</v>
      </c>
      <c r="G550" s="87">
        <f>L527</f>
        <v>413458.31999999995</v>
      </c>
      <c r="H550" s="87">
        <f>L532</f>
        <v>79954.579999999987</v>
      </c>
      <c r="I550" s="87">
        <f>L537</f>
        <v>1630.9</v>
      </c>
      <c r="J550" s="87">
        <f>L542</f>
        <v>46336.51</v>
      </c>
      <c r="K550" s="87">
        <f>SUM(F550:J550)</f>
        <v>2280778.1799999997</v>
      </c>
      <c r="L550" s="24" t="s">
        <v>288</v>
      </c>
      <c r="M550" s="8"/>
      <c r="N550" s="266"/>
    </row>
    <row r="551" spans="1:14" s="3" customFormat="1" ht="12.2" customHeight="1" thickBot="1" x14ac:dyDescent="0.2">
      <c r="A551" s="22" t="s">
        <v>635</v>
      </c>
      <c r="B551" s="75">
        <v>21</v>
      </c>
      <c r="C551" s="75">
        <v>24</v>
      </c>
      <c r="D551" s="2" t="s">
        <v>432</v>
      </c>
      <c r="E551" s="75"/>
      <c r="F551" s="87">
        <f>L523</f>
        <v>2457377.96</v>
      </c>
      <c r="G551" s="87">
        <f>L528</f>
        <v>426347.58</v>
      </c>
      <c r="H551" s="87">
        <f>L533</f>
        <v>99253.959999999992</v>
      </c>
      <c r="I551" s="87">
        <f>L538</f>
        <v>2024.56</v>
      </c>
      <c r="J551" s="87">
        <f>L543</f>
        <v>57521.18</v>
      </c>
      <c r="K551" s="87">
        <f>SUM(F551:J551)</f>
        <v>3042525.24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6887424.7599999998</v>
      </c>
      <c r="G552" s="89">
        <f t="shared" si="42"/>
        <v>1522543.86</v>
      </c>
      <c r="H552" s="89">
        <f t="shared" si="42"/>
        <v>275705.43999999994</v>
      </c>
      <c r="I552" s="89">
        <f t="shared" si="42"/>
        <v>5623.79</v>
      </c>
      <c r="J552" s="89">
        <f t="shared" si="42"/>
        <v>159781.04999999999</v>
      </c>
      <c r="K552" s="89">
        <f t="shared" si="42"/>
        <v>8851078.8999999985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f>98380</f>
        <v>98380</v>
      </c>
      <c r="I575" s="87">
        <f>SUM(F575:H575)</f>
        <v>98380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f>48022.37</f>
        <v>48022.37</v>
      </c>
      <c r="H578" s="18"/>
      <c r="I578" s="87">
        <f t="shared" si="47"/>
        <v>48022.37</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37610.2-6515.79</f>
        <v>31094.409999999996</v>
      </c>
      <c r="G579" s="18">
        <f>32959.57</f>
        <v>32959.57</v>
      </c>
      <c r="H579" s="18">
        <f>23551</f>
        <v>23551</v>
      </c>
      <c r="I579" s="87">
        <f t="shared" si="47"/>
        <v>87604.98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f>143063.97</f>
        <v>143063.97</v>
      </c>
      <c r="G580" s="18"/>
      <c r="H580" s="18">
        <f>202903.59</f>
        <v>202903.59</v>
      </c>
      <c r="I580" s="87">
        <f t="shared" si="47"/>
        <v>345967.56</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340+66762.91+52976.7</f>
        <v>120079.61</v>
      </c>
      <c r="G582" s="18">
        <f>170551.67</f>
        <v>170551.67</v>
      </c>
      <c r="H582" s="18">
        <f>993157.95</f>
        <v>993157.95</v>
      </c>
      <c r="I582" s="87">
        <f t="shared" si="47"/>
        <v>1283789.23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f>518883+14597</f>
        <v>533480</v>
      </c>
      <c r="I585" s="87">
        <f t="shared" si="47"/>
        <v>533480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179330.57+48622.73</f>
        <v>227953.30000000002</v>
      </c>
      <c r="I591" s="18">
        <f>148588.19+40287.41</f>
        <v>188875.6</v>
      </c>
      <c r="J591" s="18">
        <f>184454.31+50011.95</f>
        <v>234466.26</v>
      </c>
      <c r="K591" s="104">
        <f t="shared" ref="K591:K597" si="48">SUM(H591:J591)</f>
        <v>651295.16</v>
      </c>
      <c r="L591" s="24" t="s">
        <v>288</v>
      </c>
      <c r="M591" s="8"/>
      <c r="N591" s="266"/>
    </row>
    <row r="592" spans="1:14" s="3" customFormat="1" ht="12.2" customHeight="1" x14ac:dyDescent="0.15">
      <c r="A592" s="3" t="s">
        <v>638</v>
      </c>
      <c r="B592" s="75">
        <v>23</v>
      </c>
      <c r="C592" s="75">
        <v>2</v>
      </c>
      <c r="D592" s="2" t="s">
        <v>432</v>
      </c>
      <c r="E592" s="75"/>
      <c r="F592" s="102">
        <v>2722</v>
      </c>
      <c r="G592" s="103" t="s">
        <v>97</v>
      </c>
      <c r="H592" s="18">
        <f>55923.37</f>
        <v>55923.37</v>
      </c>
      <c r="I592" s="18">
        <f>46336.5</f>
        <v>46336.5</v>
      </c>
      <c r="J592" s="18">
        <f>57521.18</f>
        <v>57521.18</v>
      </c>
      <c r="K592" s="104">
        <f t="shared" si="48"/>
        <v>159781.04999999999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f>32156.37</f>
        <v>32156.37</v>
      </c>
      <c r="K593" s="104">
        <f t="shared" si="48"/>
        <v>32156.37</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f>4040.14</f>
        <v>4040.14</v>
      </c>
      <c r="J594" s="18">
        <f>79024.92</f>
        <v>79024.92</v>
      </c>
      <c r="K594" s="104">
        <f t="shared" si="48"/>
        <v>83065.06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12217.29</f>
        <v>12217.29</v>
      </c>
      <c r="I595" s="18">
        <f>13892.98-0.4</f>
        <v>13892.58</v>
      </c>
      <c r="J595" s="18">
        <f>12039.73+1810.51</f>
        <v>13850.24</v>
      </c>
      <c r="K595" s="104">
        <f t="shared" si="48"/>
        <v>39960.11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296093.96000000002</v>
      </c>
      <c r="I598" s="108">
        <f>SUM(I591:I597)</f>
        <v>253144.82</v>
      </c>
      <c r="J598" s="108">
        <f>SUM(J591:J597)</f>
        <v>417018.97</v>
      </c>
      <c r="K598" s="108">
        <f>SUM(K591:K597)</f>
        <v>966257.74999999988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84544.65+56855.89+47255.88</f>
        <v>188656.41999999998</v>
      </c>
      <c r="I604" s="18">
        <f>70051.28+1935+2762.52</f>
        <v>74748.800000000003</v>
      </c>
      <c r="J604" s="18">
        <f>86960.21+5000</f>
        <v>91960.21</v>
      </c>
      <c r="K604" s="104">
        <f>SUM(H604:J604)</f>
        <v>355365.43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188656.41999999998</v>
      </c>
      <c r="I605" s="108">
        <f>SUM(I602:I604)</f>
        <v>74748.800000000003</v>
      </c>
      <c r="J605" s="108">
        <f>SUM(J602:J604)</f>
        <v>91960.21</v>
      </c>
      <c r="K605" s="108">
        <f>SUM(K602:K604)</f>
        <v>355365.43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51457.69</f>
        <v>51457.69</v>
      </c>
      <c r="G611" s="18">
        <f>14811</f>
        <v>14811</v>
      </c>
      <c r="H611" s="18">
        <f>665</f>
        <v>665</v>
      </c>
      <c r="I611" s="18">
        <f>1641.73</f>
        <v>1641.73</v>
      </c>
      <c r="J611" s="18"/>
      <c r="K611" s="18"/>
      <c r="L611" s="88">
        <f>SUM(F611:K611)</f>
        <v>68575.42</v>
      </c>
      <c r="M611" s="8"/>
      <c r="N611" s="266"/>
    </row>
    <row r="612" spans="1:14" s="3" customFormat="1" ht="12.2" customHeight="1" x14ac:dyDescent="0.15">
      <c r="A612" s="22" t="s">
        <v>634</v>
      </c>
      <c r="B612" s="75">
        <v>23</v>
      </c>
      <c r="C612" s="75">
        <v>14</v>
      </c>
      <c r="D612" s="2" t="s">
        <v>432</v>
      </c>
      <c r="E612" s="75"/>
      <c r="F612" s="18">
        <f>11024.34</f>
        <v>11024.34</v>
      </c>
      <c r="G612" s="18">
        <f>5323.24</f>
        <v>5323.24</v>
      </c>
      <c r="H612" s="18"/>
      <c r="I612" s="18"/>
      <c r="J612" s="18"/>
      <c r="K612" s="18"/>
      <c r="L612" s="88">
        <f>SUM(F612:K612)</f>
        <v>16347.58</v>
      </c>
      <c r="M612" s="8"/>
      <c r="N612" s="266"/>
    </row>
    <row r="613" spans="1:14" s="3" customFormat="1" ht="12.2" customHeight="1" thickBot="1" x14ac:dyDescent="0.2">
      <c r="A613" s="22" t="s">
        <v>645</v>
      </c>
      <c r="B613" s="75">
        <v>23</v>
      </c>
      <c r="C613" s="75">
        <v>15</v>
      </c>
      <c r="D613" s="2" t="s">
        <v>432</v>
      </c>
      <c r="E613" s="75"/>
      <c r="F613" s="18">
        <f>24156.01</f>
        <v>24156.01</v>
      </c>
      <c r="G613" s="18">
        <f>5685.61</f>
        <v>5685.61</v>
      </c>
      <c r="H613" s="18"/>
      <c r="I613" s="18"/>
      <c r="J613" s="18"/>
      <c r="K613" s="18"/>
      <c r="L613" s="88">
        <f>SUM(F613:K613)</f>
        <v>29841.62</v>
      </c>
      <c r="M613" s="8"/>
      <c r="N613" s="266"/>
    </row>
    <row r="614" spans="1:14" s="3" customFormat="1" ht="12.2" customHeight="1" thickTop="1" x14ac:dyDescent="0.15">
      <c r="A614" s="98" t="s">
        <v>340</v>
      </c>
      <c r="B614" s="107">
        <v>23</v>
      </c>
      <c r="C614" s="107">
        <v>16</v>
      </c>
      <c r="D614" s="39" t="s">
        <v>432</v>
      </c>
      <c r="E614" s="107"/>
      <c r="F614" s="108">
        <f t="shared" ref="F614:L614" si="49">SUM(F611:F613)</f>
        <v>86638.04</v>
      </c>
      <c r="G614" s="108">
        <f t="shared" si="49"/>
        <v>25819.85</v>
      </c>
      <c r="H614" s="108">
        <f t="shared" si="49"/>
        <v>665</v>
      </c>
      <c r="I614" s="108">
        <f t="shared" si="49"/>
        <v>1641.73</v>
      </c>
      <c r="J614" s="108">
        <f t="shared" si="49"/>
        <v>0</v>
      </c>
      <c r="K614" s="108">
        <f t="shared" si="49"/>
        <v>0</v>
      </c>
      <c r="L614" s="89">
        <f t="shared" si="49"/>
        <v>114764.62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3242453.65</v>
      </c>
      <c r="H617" s="109">
        <f>SUM(F52)</f>
        <v>3242453.6500000004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115411.25</v>
      </c>
      <c r="H618" s="109">
        <f>SUM(G52)</f>
        <v>115411.2500000001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309618.55</v>
      </c>
      <c r="H619" s="109">
        <f>SUM(H52)</f>
        <v>309618.55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1098000</v>
      </c>
      <c r="H620" s="109">
        <f>SUM(I52)</f>
        <v>1098000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3209982.97</v>
      </c>
      <c r="H621" s="109">
        <f>SUM(J52)</f>
        <v>3209982.97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3224662.66</v>
      </c>
      <c r="H622" s="109">
        <f>F476</f>
        <v>3224662.6599999815</v>
      </c>
      <c r="I622" s="121" t="s">
        <v>101</v>
      </c>
      <c r="J622" s="109">
        <f t="shared" ref="J622:J655" si="50">G622-H622</f>
        <v>1.862645149230957E-8</v>
      </c>
      <c r="K622" s="109"/>
      <c r="L622" s="109"/>
      <c r="M622" s="8"/>
    </row>
    <row r="623" spans="1:14" s="3" customFormat="1" ht="12.2" customHeight="1" x14ac:dyDescent="0.15">
      <c r="A623" s="97"/>
      <c r="B623" s="105"/>
      <c r="C623" s="119"/>
      <c r="D623" s="119"/>
      <c r="E623" s="119"/>
      <c r="F623" s="119" t="s">
        <v>866</v>
      </c>
      <c r="G623" s="109">
        <f>G51</f>
        <v>37202.730000000098</v>
      </c>
      <c r="H623" s="109">
        <f>G476</f>
        <v>37202.730000000098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188383.54</v>
      </c>
      <c r="H624" s="109">
        <f>H476</f>
        <v>188383.54000000004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869504.76</v>
      </c>
      <c r="H625" s="109">
        <f>I476</f>
        <v>869504.76</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2111982.9700000002</v>
      </c>
      <c r="H626" s="109">
        <f>J476</f>
        <v>2111982.9699999997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40975347.739999995</v>
      </c>
      <c r="H627" s="104">
        <f>SUM(F468)</f>
        <v>40975347.739999995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617245.80000000005</v>
      </c>
      <c r="H628" s="104">
        <f>SUM(G468)</f>
        <v>617245.80000000005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1010770.3300000001</v>
      </c>
      <c r="H629" s="104">
        <f>SUM(H468)</f>
        <v>1010770.3300000001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1098000</v>
      </c>
      <c r="H630" s="104">
        <f>SUM(I468)</f>
        <v>1098000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647965.22</v>
      </c>
      <c r="H631" s="104">
        <f>SUM(J468)</f>
        <v>647965.22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40820547.330000013</v>
      </c>
      <c r="H632" s="104">
        <f>SUM(F472)</f>
        <v>40820547.330000013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956278.19000000006</v>
      </c>
      <c r="H633" s="104">
        <f>SUM(H472)</f>
        <v>956278.19000000006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300266.71000000002</v>
      </c>
      <c r="H634" s="104">
        <f>I369</f>
        <v>300266.71000000002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622709.42999999993</v>
      </c>
      <c r="H635" s="104">
        <f>SUM(G472)</f>
        <v>622709.42999999993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228495.24</v>
      </c>
      <c r="H636" s="104">
        <f>SUM(I472)</f>
        <v>228495.24</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647965.22</v>
      </c>
      <c r="H637" s="164">
        <f>SUM(J468)</f>
        <v>647965.22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1376654.46</v>
      </c>
      <c r="H638" s="164">
        <f>SUM(J472)</f>
        <v>1376654.46</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3209982.97</v>
      </c>
      <c r="H639" s="104">
        <f>SUM(F461)</f>
        <v>3209982.97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3209982.97</v>
      </c>
      <c r="H642" s="104">
        <f>SUM(I461)</f>
        <v>3209982.97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47965.219999999994</v>
      </c>
      <c r="H644" s="104">
        <f>H408</f>
        <v>47965.22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600000</v>
      </c>
      <c r="H645" s="104">
        <f>G408</f>
        <v>600000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647965.22</v>
      </c>
      <c r="H646" s="104">
        <f>L408</f>
        <v>647965.22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966257.74999999988</v>
      </c>
      <c r="H647" s="104">
        <f>L208+L226+L244</f>
        <v>966257.74999999988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355365.43</v>
      </c>
      <c r="H648" s="104">
        <f>(J257+J338)-(J255+J336)</f>
        <v>355365.43000000005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296093.95999999996</v>
      </c>
      <c r="H649" s="104">
        <f>H598</f>
        <v>296093.96000000002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253144.81999999998</v>
      </c>
      <c r="H650" s="104">
        <f>I598</f>
        <v>253144.82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417018.97</v>
      </c>
      <c r="H651" s="104">
        <f>J598</f>
        <v>417018.97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K265+K347</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600000</v>
      </c>
      <c r="H655" s="104">
        <f>K266+K347</f>
        <v>600000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c r="G659" s="13"/>
      <c r="H659" s="13"/>
      <c r="I659" s="13"/>
      <c r="J659" s="13"/>
      <c r="K659" s="13"/>
      <c r="L659" s="13"/>
      <c r="M659" s="9"/>
    </row>
    <row r="660" spans="1:13" s="3" customFormat="1" ht="12.2" customHeight="1" x14ac:dyDescent="0.15">
      <c r="A660" s="1" t="s">
        <v>126</v>
      </c>
      <c r="F660" s="19">
        <f>(L211+L290+L358)</f>
        <v>14727649.910000002</v>
      </c>
      <c r="G660" s="19">
        <f>(L229+L309+L359)</f>
        <v>10495014.890000004</v>
      </c>
      <c r="H660" s="19">
        <f>(L247+L328+L360)</f>
        <v>14062914.23</v>
      </c>
      <c r="I660" s="19">
        <f>SUM(F660:H660)</f>
        <v>39285579.030000001</v>
      </c>
      <c r="J660" s="13"/>
      <c r="K660" s="13"/>
      <c r="L660" s="13"/>
      <c r="M660" s="9"/>
    </row>
    <row r="661" spans="1:13" s="3" customFormat="1" ht="12.2" customHeight="1" x14ac:dyDescent="0.2">
      <c r="A661" s="1" t="s">
        <v>127</v>
      </c>
      <c r="F661" s="19">
        <f>(L358/IF(SUM(L358:L360)=0,1,SUM(L358:L360))*(SUM(G97:G110)))</f>
        <v>130154.64642281074</v>
      </c>
      <c r="G661" s="19">
        <f>(L359/IF(SUM(L358:L360)=0,1,SUM(L358:L360))*(SUM(G97:G110)))</f>
        <v>107842.37111167565</v>
      </c>
      <c r="H661" s="19">
        <f>(L360/IF(SUM(L358:L360)=0,1,SUM(L358:L360))*(SUM(G97:G110)))</f>
        <v>132958.98246551366</v>
      </c>
      <c r="I661" s="19">
        <f>SUM(F661:H661)</f>
        <v>370956</v>
      </c>
      <c r="J661"/>
      <c r="K661" s="13"/>
      <c r="L661" s="13"/>
      <c r="M661" s="9"/>
    </row>
    <row r="662" spans="1:13" s="3" customFormat="1" ht="12.2" customHeight="1" x14ac:dyDescent="0.2">
      <c r="A662" s="1" t="s">
        <v>128</v>
      </c>
      <c r="F662" s="19">
        <f>(L208+L287)-(J208+J287)</f>
        <v>297802.96999999997</v>
      </c>
      <c r="G662" s="19">
        <f>(L226+L306)-(J226+J306)</f>
        <v>253060.71999999997</v>
      </c>
      <c r="H662" s="19">
        <f>(L244+L325)-(J244+J325)</f>
        <v>416914.56999999995</v>
      </c>
      <c r="I662" s="19">
        <f>SUM(F662:H662)</f>
        <v>967778.25999999989</v>
      </c>
      <c r="J662"/>
      <c r="K662" s="13"/>
      <c r="L662" s="13"/>
      <c r="M662" s="8"/>
    </row>
    <row r="663" spans="1:13" s="3" customFormat="1" ht="12.2" customHeight="1" x14ac:dyDescent="0.15">
      <c r="A663" s="198" t="s">
        <v>129</v>
      </c>
      <c r="B663" s="169"/>
      <c r="C663" s="169"/>
      <c r="D663" s="169"/>
      <c r="E663" s="169"/>
      <c r="F663" s="199">
        <f>SUM(F575:F587)+SUM(H602:H604)+SUM(L611)</f>
        <v>551469.82999999996</v>
      </c>
      <c r="G663" s="199">
        <f>SUM(G575:G587)+SUM(I602:I604)+L612</f>
        <v>342629.99000000005</v>
      </c>
      <c r="H663" s="199">
        <f>SUM(H575:H587)+SUM(J602:J604)+L613</f>
        <v>1973274.37</v>
      </c>
      <c r="I663" s="19">
        <f>SUM(F663:H663)</f>
        <v>2867374.1900000004</v>
      </c>
      <c r="J663" s="13"/>
      <c r="K663" s="13"/>
      <c r="L663" s="13"/>
      <c r="M663" s="9"/>
    </row>
    <row r="664" spans="1:13" s="3" customFormat="1" ht="12.2" customHeight="1" x14ac:dyDescent="0.15">
      <c r="A664" s="1" t="s">
        <v>130</v>
      </c>
      <c r="F664" s="19">
        <f>F660-SUM(F661:F663)</f>
        <v>13748222.463577192</v>
      </c>
      <c r="G664" s="19">
        <f>G660-SUM(G661:G663)</f>
        <v>9791481.8088883292</v>
      </c>
      <c r="H664" s="19">
        <f>H660-SUM(H661:H663)</f>
        <v>11539766.307534486</v>
      </c>
      <c r="I664" s="19">
        <f>I660-SUM(I661:I663)</f>
        <v>35079470.579999998</v>
      </c>
      <c r="J664" s="13"/>
      <c r="K664" s="13"/>
      <c r="L664" s="13"/>
      <c r="M664" s="9"/>
    </row>
    <row r="665" spans="1:13" s="3" customFormat="1" ht="12.2" customHeight="1" x14ac:dyDescent="0.2">
      <c r="A665" s="1" t="s">
        <v>131</v>
      </c>
      <c r="F665" s="246">
        <v>537.55999999999995</v>
      </c>
      <c r="G665" s="247">
        <v>468.4</v>
      </c>
      <c r="H665" s="247">
        <v>582.83000000000004</v>
      </c>
      <c r="I665" s="19">
        <f>SUM(F665:H665)</f>
        <v>1588.79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25575.23</v>
      </c>
      <c r="G667" s="19">
        <f>ROUND(G664/G665,2)</f>
        <v>20904.099999999999</v>
      </c>
      <c r="H667" s="19">
        <f>ROUND(H664/H665,2)</f>
        <v>19799.54</v>
      </c>
      <c r="I667" s="19">
        <f>ROUND(I664/I665,2)</f>
        <v>22079.360000000001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-18.72</v>
      </c>
      <c r="I670" s="19">
        <f>SUM(F670:H670)</f>
        <v>-18.72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25575.23</v>
      </c>
      <c r="G672" s="19">
        <f>ROUND((G664+G669)/(G665+G670),2)</f>
        <v>20904.099999999999</v>
      </c>
      <c r="H672" s="19">
        <f>ROUND((H664+H669)/(H665+H670),2)</f>
        <v>20456.59</v>
      </c>
      <c r="I672" s="19">
        <f>ROUND((I664+I669)/(I665+I670),2)</f>
        <v>22342.62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uxV/RJgecIh6tsytUg9rGCYwm2tcgCLEcmekD9DZ0mXQ0mWpVi81d1NdmBZQuQKzGgcb3DbjpU9rcuRHXrmO5Q==" saltValue="ys/D8COgB0vDy/sfhUu0dw=="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Lebanon</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11131386.940000001</v>
      </c>
      <c r="C9" s="229">
        <f>'DOE25'!G197+'DOE25'!G215+'DOE25'!G233+'DOE25'!G276+'DOE25'!G295+'DOE25'!G314</f>
        <v>5912257.0900000008</v>
      </c>
    </row>
    <row r="10" spans="1:3" x14ac:dyDescent="0.2">
      <c r="A10" t="s">
        <v>775</v>
      </c>
      <c r="B10" s="240">
        <f>9778361.34</f>
        <v>9778361.3399999999</v>
      </c>
      <c r="C10" s="240">
        <f>C9-C11-C12</f>
        <v>5272621.5732000005</v>
      </c>
    </row>
    <row r="11" spans="1:3" x14ac:dyDescent="0.2">
      <c r="A11" t="s">
        <v>776</v>
      </c>
      <c r="B11" s="240">
        <f>820210.64</f>
        <v>820210.64</v>
      </c>
      <c r="C11" s="240">
        <f>B11*0.52</f>
        <v>426509.53280000004</v>
      </c>
    </row>
    <row r="12" spans="1:3" x14ac:dyDescent="0.2">
      <c r="A12" t="s">
        <v>777</v>
      </c>
      <c r="B12" s="240">
        <f>B9-B10-B11</f>
        <v>532814.96000000148</v>
      </c>
      <c r="C12" s="240">
        <f>B12*0.4</f>
        <v>213125.98400000061</v>
      </c>
    </row>
    <row r="13" spans="1:3" x14ac:dyDescent="0.2">
      <c r="A13" t="str">
        <f>IF(B9=B13,IF(C9=C13,"Check Total OK","Check Total Error"),"Check Total Error")</f>
        <v>Check Total OK</v>
      </c>
      <c r="B13" s="231">
        <f>SUM(B10:B12)</f>
        <v>11131386.940000001</v>
      </c>
      <c r="C13" s="231">
        <f>SUM(C10:C12)</f>
        <v>5912257.0900000008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3698499.9299999997</v>
      </c>
      <c r="C18" s="229">
        <f>'DOE25'!G198+'DOE25'!G216+'DOE25'!G234+'DOE25'!G277+'DOE25'!G296+'DOE25'!G315</f>
        <v>2398807.2000000002</v>
      </c>
    </row>
    <row r="19" spans="1:3" x14ac:dyDescent="0.2">
      <c r="A19" t="s">
        <v>775</v>
      </c>
      <c r="B19" s="240">
        <f>2243380.143</f>
        <v>2243380.1430000002</v>
      </c>
      <c r="C19" s="240">
        <f>C18-C20-C21</f>
        <v>1659396.3660000002</v>
      </c>
    </row>
    <row r="20" spans="1:3" x14ac:dyDescent="0.2">
      <c r="A20" t="s">
        <v>776</v>
      </c>
      <c r="B20" s="240">
        <f>1311357.66</f>
        <v>1311357.6599999999</v>
      </c>
      <c r="C20" s="240">
        <f>B20*0.52</f>
        <v>681905.98320000002</v>
      </c>
    </row>
    <row r="21" spans="1:3" x14ac:dyDescent="0.2">
      <c r="A21" t="s">
        <v>777</v>
      </c>
      <c r="B21" s="240">
        <f>B18-B19-B20</f>
        <v>143762.12699999963</v>
      </c>
      <c r="C21" s="240">
        <f>B21*0.4</f>
        <v>57504.850799999855</v>
      </c>
    </row>
    <row r="22" spans="1:3" x14ac:dyDescent="0.2">
      <c r="A22" t="str">
        <f>IF(B18=B22,IF(C18=C22,"Check Total OK","Check Total Error"),"Check Total Error")</f>
        <v>Check Total OK</v>
      </c>
      <c r="B22" s="231">
        <f>SUM(B19:B21)</f>
        <v>3698499.9299999997</v>
      </c>
      <c r="C22" s="231">
        <f>SUM(C19:C21)</f>
        <v>2398807.1999999997</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495812.32</v>
      </c>
      <c r="C36" s="235">
        <f>'DOE25'!G200+'DOE25'!G218+'DOE25'!G236+'DOE25'!G279+'DOE25'!G298+'DOE25'!G317</f>
        <v>105604.03</v>
      </c>
    </row>
    <row r="37" spans="1:3" x14ac:dyDescent="0.2">
      <c r="A37" t="s">
        <v>775</v>
      </c>
      <c r="B37" s="240">
        <f>174987.03</f>
        <v>174987.03</v>
      </c>
      <c r="C37" s="240">
        <f>C36</f>
        <v>105604.03</v>
      </c>
    </row>
    <row r="38" spans="1:3" x14ac:dyDescent="0.2">
      <c r="A38" t="s">
        <v>776</v>
      </c>
      <c r="B38" s="240">
        <f>3067</f>
        <v>3067</v>
      </c>
      <c r="C38" s="240"/>
    </row>
    <row r="39" spans="1:3" x14ac:dyDescent="0.2">
      <c r="A39" t="s">
        <v>777</v>
      </c>
      <c r="B39" s="240">
        <f>B36-B37-B38</f>
        <v>317758.29000000004</v>
      </c>
      <c r="C39" s="240"/>
    </row>
    <row r="40" spans="1:3" x14ac:dyDescent="0.2">
      <c r="A40" t="str">
        <f>IF(B36=B40,IF(C36=C40,"Check Total OK","Check Total Error"),"Check Total Error")</f>
        <v>Check Total OK</v>
      </c>
      <c r="B40" s="231">
        <f>SUM(B37:B39)</f>
        <v>495812.32000000007</v>
      </c>
      <c r="C40" s="231">
        <f>SUM(C37:C39)</f>
        <v>105604.03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I54" sqref="A1:I54"/>
    </sheetView>
  </sheetViews>
  <sheetFormatPr defaultRowHeight="11.25" x14ac:dyDescent="0.2"/>
  <cols>
    <col min="1" max="1" width="10.83203125" customWidth="1"/>
    <col min="2" max="2" width="41.1640625" customWidth="1"/>
    <col min="3" max="5" width="17.83203125" customWidth="1"/>
    <col min="6" max="6" width="17" customWidth="1"/>
    <col min="7" max="7" width="15.5" customWidth="1"/>
    <col min="8" max="9" width="15.83203125" customWidth="1"/>
  </cols>
  <sheetData>
    <row r="1" spans="1:9" x14ac:dyDescent="0.2">
      <c r="A1" s="325" t="s">
        <v>894</v>
      </c>
      <c r="B1" s="329"/>
      <c r="C1" s="329"/>
      <c r="D1" s="329"/>
      <c r="E1" s="329"/>
      <c r="F1" s="329"/>
      <c r="G1" s="329"/>
      <c r="H1" s="329"/>
      <c r="I1" s="181"/>
    </row>
    <row r="2" spans="1:9" x14ac:dyDescent="0.2">
      <c r="A2" s="33" t="s">
        <v>713</v>
      </c>
      <c r="B2" s="260" t="str">
        <f>'DOE25'!A2</f>
        <v>Lebanon</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26443415.119999997</v>
      </c>
      <c r="D5" s="20">
        <f>SUM('DOE25'!L197:L200)+SUM('DOE25'!L215:L218)+SUM('DOE25'!L233:L236)-F5-G5-H5</f>
        <v>26207027.859999996</v>
      </c>
      <c r="E5" s="243"/>
      <c r="F5" s="244">
        <f>12784.75+738.5+337.5</f>
        <v>13860.75</v>
      </c>
      <c r="G5" s="53">
        <f>SUM('DOE25'!J197:J200)+SUM('DOE25'!J215:J218)+SUM('DOE25'!J233:J236)</f>
        <v>142100</v>
      </c>
      <c r="H5" s="53">
        <f>SUM('DOE25'!K197:K200)+SUM('DOE25'!K215:K218)+SUM('DOE25'!K233:K236)</f>
        <v>80426.510000000009</v>
      </c>
      <c r="I5" s="256"/>
    </row>
    <row r="6" spans="1:9" x14ac:dyDescent="0.2">
      <c r="A6" s="32">
        <v>2100</v>
      </c>
      <c r="B6" t="s">
        <v>796</v>
      </c>
      <c r="C6" s="276">
        <f t="shared" si="0"/>
        <v>1715983.2</v>
      </c>
      <c r="D6" s="20">
        <f>'DOE25'!L202+'DOE25'!L220+'DOE25'!L238-F6-G6-H6</f>
        <v>1712723.2</v>
      </c>
      <c r="E6" s="243"/>
      <c r="F6" s="244"/>
      <c r="G6" s="53">
        <f>'DOE25'!J202+'DOE25'!J220+'DOE25'!J238</f>
        <v>1880</v>
      </c>
      <c r="H6" s="53">
        <f>'DOE25'!K202+'DOE25'!K220+'DOE25'!K238</f>
        <v>1380</v>
      </c>
      <c r="I6" s="256"/>
    </row>
    <row r="7" spans="1:9" x14ac:dyDescent="0.2">
      <c r="A7" s="32">
        <v>2200</v>
      </c>
      <c r="B7" t="s">
        <v>821</v>
      </c>
      <c r="C7" s="276">
        <f t="shared" si="0"/>
        <v>2233733.08</v>
      </c>
      <c r="D7" s="20">
        <f>'DOE25'!L203+'DOE25'!L221+'DOE25'!L239-F7-G7-H7</f>
        <v>2032892.95</v>
      </c>
      <c r="E7" s="243"/>
      <c r="F7" s="244">
        <f>4601.6</f>
        <v>4601.6000000000004</v>
      </c>
      <c r="G7" s="53">
        <f>'DOE25'!J203+'DOE25'!J221+'DOE25'!J239</f>
        <v>195594.53000000003</v>
      </c>
      <c r="H7" s="53">
        <f>'DOE25'!K203+'DOE25'!K221+'DOE25'!K239</f>
        <v>644</v>
      </c>
      <c r="I7" s="256"/>
    </row>
    <row r="8" spans="1:9" x14ac:dyDescent="0.2">
      <c r="A8" s="32">
        <v>2300</v>
      </c>
      <c r="B8" t="s">
        <v>797</v>
      </c>
      <c r="C8" s="276">
        <f t="shared" si="0"/>
        <v>936369.89</v>
      </c>
      <c r="D8" s="243"/>
      <c r="E8" s="20">
        <f>'DOE25'!L204+'DOE25'!L222+'DOE25'!L240-F8-G8-H8-D9-D11</f>
        <v>923224.19000000006</v>
      </c>
      <c r="F8" s="244">
        <f>1086.45</f>
        <v>1086.45</v>
      </c>
      <c r="G8" s="53">
        <f>'DOE25'!J204+'DOE25'!J222+'DOE25'!J240</f>
        <v>395</v>
      </c>
      <c r="H8" s="53">
        <f>'DOE25'!K204+'DOE25'!K222+'DOE25'!K240</f>
        <v>11664.25</v>
      </c>
      <c r="I8" s="256"/>
    </row>
    <row r="9" spans="1:9" ht="14.25" x14ac:dyDescent="0.2">
      <c r="A9" s="32">
        <v>2310</v>
      </c>
      <c r="B9" s="185" t="s">
        <v>890</v>
      </c>
      <c r="C9" s="276">
        <f t="shared" si="0"/>
        <v>177834.66</v>
      </c>
      <c r="D9" s="244">
        <f>177834.66</f>
        <v>177834.66</v>
      </c>
      <c r="E9" s="243"/>
      <c r="F9" s="253"/>
      <c r="G9" s="253"/>
      <c r="H9" s="253"/>
      <c r="I9" s="256"/>
    </row>
    <row r="10" spans="1:9" ht="14.25" x14ac:dyDescent="0.2">
      <c r="A10" s="32">
        <v>2317</v>
      </c>
      <c r="B10" s="185" t="s">
        <v>891</v>
      </c>
      <c r="C10" s="276">
        <f t="shared" si="0"/>
        <v>24575</v>
      </c>
      <c r="D10" s="243"/>
      <c r="E10" s="244">
        <f>24575</f>
        <v>24575</v>
      </c>
      <c r="F10" s="253"/>
      <c r="G10" s="253"/>
      <c r="H10" s="253"/>
      <c r="I10" s="256"/>
    </row>
    <row r="11" spans="1:9" ht="14.25" x14ac:dyDescent="0.2">
      <c r="A11" s="32">
        <v>2321</v>
      </c>
      <c r="B11" s="185" t="s">
        <v>892</v>
      </c>
      <c r="C11" s="276">
        <f t="shared" si="0"/>
        <v>289370.65000000002</v>
      </c>
      <c r="D11" s="244">
        <f>289370.65</f>
        <v>289370.65000000002</v>
      </c>
      <c r="E11" s="243"/>
      <c r="F11" s="253"/>
      <c r="G11" s="253"/>
      <c r="H11" s="253"/>
      <c r="I11" s="256"/>
    </row>
    <row r="12" spans="1:9" x14ac:dyDescent="0.2">
      <c r="A12" s="32">
        <v>2400</v>
      </c>
      <c r="B12" t="s">
        <v>711</v>
      </c>
      <c r="C12" s="276">
        <f t="shared" si="0"/>
        <v>2060435.85</v>
      </c>
      <c r="D12" s="20">
        <f>'DOE25'!L205+'DOE25'!L223+'DOE25'!L241-F12-G12-H12</f>
        <v>2044126.85</v>
      </c>
      <c r="E12" s="243"/>
      <c r="F12" s="244"/>
      <c r="G12" s="53">
        <f>'DOE25'!J205+'DOE25'!J223+'DOE25'!J241</f>
        <v>5034</v>
      </c>
      <c r="H12" s="53">
        <f>'DOE25'!K205+'DOE25'!K223+'DOE25'!K241</f>
        <v>11275</v>
      </c>
      <c r="I12" s="256"/>
    </row>
    <row r="13" spans="1:9" x14ac:dyDescent="0.2">
      <c r="A13" s="32">
        <v>2500</v>
      </c>
      <c r="B13" t="s">
        <v>798</v>
      </c>
      <c r="C13" s="276">
        <f t="shared" si="0"/>
        <v>0</v>
      </c>
      <c r="D13" s="243"/>
      <c r="E13" s="20">
        <f>'DOE25'!L206+'DOE25'!L224+'DOE25'!L242-F13-G13-H13</f>
        <v>-8229.2999999999993</v>
      </c>
      <c r="F13" s="244">
        <f>8229.3</f>
        <v>8229.2999999999993</v>
      </c>
      <c r="G13" s="53">
        <f>'DOE25'!J206+'DOE25'!J224+'DOE25'!J242</f>
        <v>0</v>
      </c>
      <c r="H13" s="53">
        <f>'DOE25'!K206+'DOE25'!K224+'DOE25'!K242</f>
        <v>0</v>
      </c>
      <c r="I13" s="256"/>
    </row>
    <row r="14" spans="1:9" x14ac:dyDescent="0.2">
      <c r="A14" s="32">
        <v>2600</v>
      </c>
      <c r="B14" t="s">
        <v>819</v>
      </c>
      <c r="C14" s="276">
        <f t="shared" si="0"/>
        <v>2900141.0100000002</v>
      </c>
      <c r="D14" s="20">
        <f>'DOE25'!L207+'DOE25'!L225+'DOE25'!L243-F14-G14-H14</f>
        <v>2742142.65</v>
      </c>
      <c r="E14" s="243"/>
      <c r="F14" s="244">
        <f>61526.5+61187+28420</f>
        <v>151133.5</v>
      </c>
      <c r="G14" s="53">
        <f>'DOE25'!J207+'DOE25'!J225+'DOE25'!J243</f>
        <v>4770.8900000000003</v>
      </c>
      <c r="H14" s="53">
        <f>'DOE25'!K207+'DOE25'!K225+'DOE25'!K243</f>
        <v>2093.9699999999998</v>
      </c>
      <c r="I14" s="256"/>
    </row>
    <row r="15" spans="1:9" x14ac:dyDescent="0.2">
      <c r="A15" s="32">
        <v>2700</v>
      </c>
      <c r="B15" t="s">
        <v>799</v>
      </c>
      <c r="C15" s="276">
        <f t="shared" si="0"/>
        <v>966257.74999999988</v>
      </c>
      <c r="D15" s="20">
        <f>'DOE25'!L208+'DOE25'!L226+'DOE25'!L244-F15-G15-H15</f>
        <v>833712.54999999993</v>
      </c>
      <c r="E15" s="243"/>
      <c r="F15" s="244">
        <f>97509.14+20206.99+11747.83</f>
        <v>129463.96</v>
      </c>
      <c r="G15" s="53">
        <f>'DOE25'!J208+'DOE25'!J226+'DOE25'!J244</f>
        <v>290</v>
      </c>
      <c r="H15" s="53">
        <f>'DOE25'!K208+'DOE25'!K226+'DOE25'!K244</f>
        <v>2791.24</v>
      </c>
      <c r="I15" s="256"/>
    </row>
    <row r="16" spans="1:9" x14ac:dyDescent="0.2">
      <c r="A16" s="32">
        <v>2800</v>
      </c>
      <c r="B16" t="s">
        <v>800</v>
      </c>
      <c r="C16" s="276">
        <f t="shared" si="0"/>
        <v>0</v>
      </c>
      <c r="D16" s="243"/>
      <c r="E16" s="20">
        <f>'DOE25'!L209+'DOE25'!L227+'DOE25'!L245-F16-G16-H16</f>
        <v>-7986.9</v>
      </c>
      <c r="F16" s="244">
        <f>4975.23+3011.67</f>
        <v>7986.9</v>
      </c>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352602.92</v>
      </c>
      <c r="D22" s="243"/>
      <c r="E22" s="243"/>
      <c r="F22" s="243"/>
      <c r="G22" s="53">
        <f>'DOE25'!L255+'DOE25'!L336</f>
        <v>352602.92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2046023.2000000002</v>
      </c>
      <c r="D25" s="243"/>
      <c r="E25" s="243"/>
      <c r="F25" s="255"/>
      <c r="G25" s="253"/>
      <c r="H25" s="253"/>
      <c r="I25" s="254">
        <f>'DOE25'!L260+'DOE25'!L261+'DOE25'!L341+'DOE25'!L342</f>
        <v>2046023.2000000002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387545.42999999993</v>
      </c>
      <c r="D29" s="284">
        <f>'DOE25'!L358+'DOE25'!L359+'DOE25'!L360-'DOE25'!I367-F29-G29-H29</f>
        <v>25199.259999999958</v>
      </c>
      <c r="E29" s="243"/>
      <c r="F29" s="244">
        <f>591115-235164+2169.1</f>
        <v>358120.1</v>
      </c>
      <c r="G29" s="53">
        <f>'DOE25'!J358+'DOE25'!J359+'DOE25'!J360</f>
        <v>4226.07</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956278.19000000006</v>
      </c>
      <c r="D31" s="20">
        <f>'DOE25'!L290+'DOE25'!L309+'DOE25'!L328+'DOE25'!L333+'DOE25'!L334+'DOE25'!L335-F31-G31-H31</f>
        <v>933777.94000000006</v>
      </c>
      <c r="E31" s="243"/>
      <c r="F31" s="244"/>
      <c r="G31" s="53">
        <f>'DOE25'!J290+'DOE25'!J309+'DOE25'!J328+'DOE25'!J333+'DOE25'!J334+'DOE25'!J335</f>
        <v>5301.01</v>
      </c>
      <c r="H31" s="53">
        <f>'DOE25'!K290+'DOE25'!K309+'DOE25'!K328+'DOE25'!K333+'DOE25'!K334+'DOE25'!K335</f>
        <v>17199.239999999998</v>
      </c>
      <c r="I31" s="256"/>
    </row>
    <row r="32" spans="1:9" ht="12" thickBot="1" x14ac:dyDescent="0.25">
      <c r="C32" s="277"/>
      <c r="G32" s="251"/>
      <c r="H32" s="251"/>
      <c r="I32" s="258"/>
    </row>
    <row r="33" spans="1:9" ht="12" thickTop="1" x14ac:dyDescent="0.2">
      <c r="B33" t="s">
        <v>809</v>
      </c>
      <c r="D33" s="245">
        <f t="shared" ref="D33:I33" si="1">SUM(D5:D31)</f>
        <v>36998808.569999985</v>
      </c>
      <c r="E33" s="245">
        <f t="shared" si="1"/>
        <v>931582.99</v>
      </c>
      <c r="F33" s="245">
        <f t="shared" si="1"/>
        <v>674482.56</v>
      </c>
      <c r="G33" s="245">
        <f t="shared" si="1"/>
        <v>712194.42</v>
      </c>
      <c r="H33" s="245">
        <f t="shared" si="1"/>
        <v>127474.21000000002</v>
      </c>
      <c r="I33" s="245">
        <f t="shared" si="1"/>
        <v>2046023.2000000002</v>
      </c>
    </row>
    <row r="35" spans="1:9" ht="12" thickBot="1" x14ac:dyDescent="0.25">
      <c r="B35" s="251" t="s">
        <v>831</v>
      </c>
      <c r="D35" s="252">
        <f>E33</f>
        <v>931582.99</v>
      </c>
      <c r="E35" s="248"/>
    </row>
    <row r="36" spans="1:9" ht="12" thickTop="1" x14ac:dyDescent="0.2">
      <c r="B36" t="s">
        <v>810</v>
      </c>
      <c r="D36" s="20">
        <f>D33</f>
        <v>36998808.569999985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XFis78VUKzx8pyW+c7w0NvR1t64AaoBCS56hEa9TnZhdprsSclwZLD+7MZ/sBoc0NEuFC4TRDpkL5IxaKBZAcw==" saltValue="OLJQxhutAucxYr5znX3pPg==" spinCount="100000" sheet="1" objects="1" scenarios="1"/>
  <mergeCells count="3">
    <mergeCell ref="F2:H2"/>
    <mergeCell ref="A1:H1"/>
    <mergeCell ref="B53:H53"/>
  </mergeCells>
  <phoneticPr fontId="0" type="noConversion"/>
  <pageMargins left="0.5" right="0.5" top="0.5" bottom="0.5" header="0.5" footer="0.5"/>
  <pageSetup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25" sqref="F2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Lebanon</v>
      </c>
      <c r="B2" s="126">
        <f>'DOE25'!B2</f>
        <v>0</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14509164.364500001</v>
      </c>
      <c r="G4" s="303">
        <f>'DOE25'!L211+'DOE25'!L290</f>
        <v>14509164.360000001</v>
      </c>
      <c r="H4" s="304">
        <f>F4-G4</f>
        <v>4.4999998062849045E-3</v>
      </c>
      <c r="I4" s="310" t="str">
        <f>IF(H4=0,"","Does not match DOE25 page 7 and 11 Totals!!")</f>
        <v>Does not match DOE25 page 7 and 11 Totals!!</v>
      </c>
      <c r="N4"/>
    </row>
    <row r="5" spans="1:18" x14ac:dyDescent="0.2">
      <c r="A5" s="21" t="s">
        <v>1195</v>
      </c>
      <c r="B5" s="305">
        <f>IFERROR(VLOOKUP(A5,'School Tables'!$C$3:$D$368,2,FALSE),"")</f>
        <v>21355</v>
      </c>
      <c r="C5" s="297" t="str">
        <f>IFERROR(INDEX('School Tables'!$B$3:$B$368,MATCH('School Level Expenditures'!B5,'School Tables'!$D$3:$D$368,0)),"")</f>
        <v>Lebanon</v>
      </c>
      <c r="D5" s="294">
        <f>'DOE25'!L211*0.39-104373.11</f>
        <v>5345580.5367999999</v>
      </c>
      <c r="E5" s="294">
        <f>237476.23+(9878.72*0.4)+(41885.3*0.4)+((145237.4*0.35)*0.4)+((6128.87*0.35)*0.4)+3055.74*0.4+8363.06*0.4+7733.15*0.4+4207.05*0.4+26070.75*0.4+16304.82*0.4-11334.52</f>
        <v>294332.42379999999</v>
      </c>
      <c r="F5" s="313">
        <f>D5+E5</f>
        <v>5639912.9605999999</v>
      </c>
      <c r="G5" s="297"/>
      <c r="H5" s="297"/>
      <c r="I5" s="126"/>
      <c r="N5"/>
    </row>
    <row r="6" spans="1:18" x14ac:dyDescent="0.2">
      <c r="A6" s="21" t="s">
        <v>1194</v>
      </c>
      <c r="B6" s="305">
        <f>IFERROR(VLOOKUP(A6,'School Tables'!$C$3:$D$368,2,FALSE),"")</f>
        <v>21335</v>
      </c>
      <c r="C6" s="297" t="str">
        <f>IFERROR(INDEX('School Tables'!$B$3:$B$368,MATCH('School Level Expenditures'!B6,'School Tables'!$D$3:$D$368,0)),"")</f>
        <v>Lebanon</v>
      </c>
      <c r="D6" s="294">
        <f>'DOE25'!L211*0.61-189524.88</f>
        <v>8334761.5932000009</v>
      </c>
      <c r="E6" s="294">
        <f>53839.69+(9878.72*0.6)+44.9+(41885.3*0.6)+100937.95+((145237.4*0.35)*0.6)+((6128.87*0.35)*0.6)+3055.74*0.6+8363.06*0.6+7733.15*0.6+485+4207.05*0.6+26070.75*0.6+16304.82*0.6-17001.79</f>
        <v>240591.82069999998</v>
      </c>
      <c r="F6" s="308">
        <f t="shared" ref="F6:F20" si="0">D6+E6</f>
        <v>8575353.413900001</v>
      </c>
      <c r="G6" s="297"/>
      <c r="H6" s="297"/>
      <c r="I6" s="126"/>
      <c r="N6"/>
    </row>
    <row r="7" spans="1:18" x14ac:dyDescent="0.2">
      <c r="A7" s="21" t="s">
        <v>1586</v>
      </c>
      <c r="B7" s="305">
        <f>IFERROR(VLOOKUP(A7,'School Tables'!$C$3:$D$368,2,FALSE),"")</f>
        <v>99999</v>
      </c>
      <c r="C7" s="297" t="str">
        <f>IFERROR(INDEX('School Tables'!$B$3:$B$368,MATCH('School Level Expenditures'!B7,'School Tables'!$D$3:$D$368,0)),"")</f>
        <v>Other District Expenditures</v>
      </c>
      <c r="D7" s="294">
        <f>104373.11+189524.88</f>
        <v>293897.99</v>
      </c>
      <c r="E7" s="294"/>
      <c r="F7" s="308">
        <f t="shared" si="0"/>
        <v>293897.99</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10313984.090000004</v>
      </c>
      <c r="G24" s="303">
        <f>'DOE25'!L229+'DOE25'!L309</f>
        <v>10313984.090000004</v>
      </c>
      <c r="H24" s="304">
        <f>F24-G24</f>
        <v>0</v>
      </c>
      <c r="I24" s="310" t="str">
        <f>IF(H24=0,"","Does not match DOE25 page 8 and 12 Totals!!")</f>
        <v/>
      </c>
      <c r="N24"/>
    </row>
    <row r="25" spans="1:14" x14ac:dyDescent="0.2">
      <c r="A25" s="21" t="s">
        <v>1197</v>
      </c>
      <c r="B25" s="305">
        <f>IFERROR(VLOOKUP(A25,'School Tables'!$I$3:$J$80,2,FALSE),"")</f>
        <v>21370</v>
      </c>
      <c r="C25" s="297" t="str">
        <f t="array" ref="C25">IFERROR(INDEX('School Tables'!$H$3:$H$80,MATCH('School Level Expenditures'!B25,'School Tables'!$J$3:$J$80,0)),"")</f>
        <v>Lebanon</v>
      </c>
      <c r="D25" s="294">
        <f>'DOE25'!L229-D26</f>
        <v>9896927.4200000037</v>
      </c>
      <c r="E25" s="294">
        <f>'DOE25'!L309</f>
        <v>165523.06</v>
      </c>
      <c r="F25" s="308">
        <f>D25+E25</f>
        <v>10062450.480000004</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f>251533.61</f>
        <v>251533.61</v>
      </c>
      <c r="E26" s="294"/>
      <c r="F26" s="308">
        <f t="shared" ref="F26:F32" si="1">D26+E26</f>
        <v>251533.61</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13839721.15</v>
      </c>
      <c r="G36" s="303">
        <f>'DOE25'!L247+'DOE25'!L328</f>
        <v>13839721.15</v>
      </c>
      <c r="H36" s="304">
        <f>F36-G36</f>
        <v>0</v>
      </c>
      <c r="I36" s="310" t="str">
        <f>IF(H36=0,"","Does not match DOE25 page 9 and 13 Totals!!")</f>
        <v/>
      </c>
      <c r="N36"/>
    </row>
    <row r="37" spans="1:14" x14ac:dyDescent="0.2">
      <c r="A37" s="21" t="s">
        <v>1196</v>
      </c>
      <c r="B37" s="305">
        <f>IFERROR(VLOOKUP(A37,'School Tables'!$O$3:$P$122,2,FALSE),"")</f>
        <v>21360</v>
      </c>
      <c r="C37" s="297" t="str">
        <f t="array" ref="C37">IFERROR(INDEX('School Tables'!$N$3:$N$122,MATCH('School Level Expenditures'!B37,'School Tables'!$P$3:$P$122,0)),"")</f>
        <v>Lebanon</v>
      </c>
      <c r="D37" s="294">
        <f>'DOE25'!L247-D38</f>
        <v>11749366.92</v>
      </c>
      <c r="E37" s="294">
        <f>'DOE25'!L328</f>
        <v>238881.09</v>
      </c>
      <c r="F37" s="308">
        <f>D37+E37</f>
        <v>11988248.01</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f>1851473.14</f>
        <v>1851473.14</v>
      </c>
      <c r="E38" s="294"/>
      <c r="F38" s="308">
        <f t="shared" ref="F38:F41" si="2">D38+E38</f>
        <v>1851473.14</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 activePane="bottomLeft" state="frozen"/>
      <selection activeCell="F46" sqref="F46"/>
      <selection pane="bottomLeft"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Lebanon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1382473.35</v>
      </c>
      <c r="D8" s="95">
        <f>'DOE25'!G9</f>
        <v>0</v>
      </c>
      <c r="E8" s="95">
        <f>'DOE25'!H9</f>
        <v>0</v>
      </c>
      <c r="F8" s="95">
        <f>'DOE25'!I13</f>
        <v>1098000</v>
      </c>
      <c r="G8" s="95">
        <f>'DOE25'!J9</f>
        <v>0</v>
      </c>
      <c r="H8" s="124"/>
      <c r="I8" s="124"/>
    </row>
    <row r="9" spans="1:9" x14ac:dyDescent="0.2">
      <c r="A9" s="1" t="s">
        <v>140</v>
      </c>
      <c r="B9" s="6">
        <v>110</v>
      </c>
      <c r="C9" s="95">
        <f>'DOE25'!F10</f>
        <v>1448805.36</v>
      </c>
      <c r="D9" s="95">
        <f>'DOE25'!G10</f>
        <v>0</v>
      </c>
      <c r="E9" s="95">
        <f>'DOE25'!H10</f>
        <v>0</v>
      </c>
      <c r="F9" s="95">
        <f>'DOE25'!I10</f>
        <v>0</v>
      </c>
      <c r="G9" s="95">
        <f>'DOE25'!J10</f>
        <v>3209982.97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96700.94</v>
      </c>
      <c r="D11" s="95">
        <f>'DOE25'!G12</f>
        <v>91712.83</v>
      </c>
      <c r="E11" s="95">
        <f>'DOE25'!H12</f>
        <v>188385.27</v>
      </c>
      <c r="F11" s="95">
        <f>'DOE25'!I12</f>
        <v>0</v>
      </c>
      <c r="G11" s="95">
        <f>'DOE25'!J12</f>
        <v>0</v>
      </c>
      <c r="H11" s="124"/>
      <c r="I11" s="124"/>
    </row>
    <row r="12" spans="1:9" x14ac:dyDescent="0.2">
      <c r="A12" s="1" t="s">
        <v>143</v>
      </c>
      <c r="B12" s="6">
        <v>140</v>
      </c>
      <c r="C12" s="95">
        <f>'DOE25'!F13</f>
        <v>114471.78</v>
      </c>
      <c r="D12" s="95">
        <f>'DOE25'!G13</f>
        <v>10025.450000000001</v>
      </c>
      <c r="E12" s="95">
        <f>'DOE25'!H13</f>
        <v>121233.28</v>
      </c>
      <c r="F12" s="95">
        <f>'DOE25'!I13</f>
        <v>1098000</v>
      </c>
      <c r="G12" s="95">
        <f>'DOE25'!J13</f>
        <v>0</v>
      </c>
      <c r="H12" s="124"/>
      <c r="I12" s="124"/>
    </row>
    <row r="13" spans="1:9" x14ac:dyDescent="0.2">
      <c r="A13" s="1" t="s">
        <v>144</v>
      </c>
      <c r="B13" s="6">
        <v>150</v>
      </c>
      <c r="C13" s="95">
        <f>'DOE25'!F14</f>
        <v>200002.22</v>
      </c>
      <c r="D13" s="95">
        <f>'DOE25'!G14</f>
        <v>4759.6000000000004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8913.3700000000008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3242453.65</v>
      </c>
      <c r="D18" s="41">
        <f>SUM(D8:D17)</f>
        <v>115411.25</v>
      </c>
      <c r="E18" s="41">
        <f>SUM(E8:E17)</f>
        <v>309618.55</v>
      </c>
      <c r="F18" s="41">
        <f>SUM(F8:F17)</f>
        <v>2196000</v>
      </c>
      <c r="G18" s="41">
        <f>SUM(G8:G17)</f>
        <v>3209982.97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121235.01</v>
      </c>
      <c r="F21" s="95">
        <f>'DOE25'!I22</f>
        <v>228495.24</v>
      </c>
      <c r="G21" s="95">
        <f>'DOE25'!J22</f>
        <v>0</v>
      </c>
      <c r="H21" s="124"/>
      <c r="I21" s="124"/>
    </row>
    <row r="22" spans="1:9" x14ac:dyDescent="0.2">
      <c r="A22" s="1" t="s">
        <v>151</v>
      </c>
      <c r="B22" s="6">
        <v>410</v>
      </c>
      <c r="C22" s="95">
        <f>'DOE25'!F23</f>
        <v>0</v>
      </c>
      <c r="D22" s="95">
        <f>'DOE25'!G23</f>
        <v>0</v>
      </c>
      <c r="E22" s="95">
        <f>'DOE25'!H23</f>
        <v>0</v>
      </c>
      <c r="F22" s="95">
        <f>'DOE25'!I23</f>
        <v>0</v>
      </c>
      <c r="G22" s="95">
        <f>'DOE25'!J23</f>
        <v>1098000</v>
      </c>
      <c r="H22" s="124"/>
      <c r="I22" s="124"/>
    </row>
    <row r="23" spans="1:9" x14ac:dyDescent="0.2">
      <c r="A23" s="1" t="s">
        <v>152</v>
      </c>
      <c r="B23" s="6">
        <v>420</v>
      </c>
      <c r="C23" s="95">
        <f>'DOE25'!F24</f>
        <v>17790.990000000002</v>
      </c>
      <c r="D23" s="95">
        <f>'DOE25'!G24</f>
        <v>53518.55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24689.97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17790.990000000002</v>
      </c>
      <c r="D31" s="41">
        <f>SUM(D21:D30)</f>
        <v>78208.52</v>
      </c>
      <c r="E31" s="41">
        <f>SUM(E21:E30)</f>
        <v>121235.01</v>
      </c>
      <c r="F31" s="41">
        <f>SUM(F21:F30)</f>
        <v>228495.24</v>
      </c>
      <c r="G31" s="41">
        <f>SUM(G21:G30)</f>
        <v>1098000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8913.3700000000008</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28289.360000000099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768005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188383.54</v>
      </c>
      <c r="F47" s="95">
        <f>'DOE25'!I48</f>
        <v>869504.76</v>
      </c>
      <c r="G47" s="95">
        <f>'DOE25'!J48</f>
        <v>2111982.9700000002</v>
      </c>
      <c r="H47" s="124"/>
      <c r="I47" s="124"/>
    </row>
    <row r="48" spans="1:9" x14ac:dyDescent="0.2">
      <c r="A48" s="1" t="s">
        <v>882</v>
      </c>
      <c r="B48" s="6">
        <v>753</v>
      </c>
      <c r="C48" s="95">
        <f>'DOE25'!F49</f>
        <v>386700</v>
      </c>
      <c r="D48" s="95">
        <f>'DOE25'!G49</f>
        <v>0</v>
      </c>
      <c r="E48" s="95">
        <f>'DOE25'!H49</f>
        <v>0</v>
      </c>
      <c r="F48" s="95">
        <f>'DOE25'!I49</f>
        <v>0</v>
      </c>
      <c r="G48" s="95">
        <f>'DOE25'!J49</f>
        <v>0</v>
      </c>
      <c r="H48" s="124"/>
      <c r="I48" s="124"/>
    </row>
    <row r="49" spans="1:9" ht="12" thickBot="1" x14ac:dyDescent="0.25">
      <c r="A49" s="29" t="s">
        <v>883</v>
      </c>
      <c r="B49" s="71">
        <v>770</v>
      </c>
      <c r="C49" s="95">
        <f>'DOE25'!F50</f>
        <v>1369957.66</v>
      </c>
      <c r="D49" s="24" t="s">
        <v>288</v>
      </c>
      <c r="E49" s="24" t="s">
        <v>288</v>
      </c>
      <c r="F49" s="24" t="s">
        <v>288</v>
      </c>
      <c r="G49" s="24" t="s">
        <v>288</v>
      </c>
      <c r="H49" s="124"/>
      <c r="I49" s="124"/>
    </row>
    <row r="50" spans="1:9" ht="12.75" thickTop="1" thickBot="1" x14ac:dyDescent="0.25">
      <c r="A50" s="38" t="s">
        <v>884</v>
      </c>
      <c r="B50" s="48"/>
      <c r="C50" s="41">
        <f>SUM(C34:C49)</f>
        <v>3224662.66</v>
      </c>
      <c r="D50" s="41">
        <f>SUM(D34:D49)</f>
        <v>37202.730000000098</v>
      </c>
      <c r="E50" s="41">
        <f>SUM(E34:E49)</f>
        <v>188383.54</v>
      </c>
      <c r="F50" s="41">
        <f>SUM(F34:F49)</f>
        <v>869504.76</v>
      </c>
      <c r="G50" s="41">
        <f>SUM(G34:G49)</f>
        <v>2111982.9700000002</v>
      </c>
      <c r="H50" s="124"/>
      <c r="I50" s="124"/>
    </row>
    <row r="51" spans="1:9" ht="12" thickTop="1" x14ac:dyDescent="0.2">
      <c r="A51" s="38" t="s">
        <v>885</v>
      </c>
      <c r="B51" s="2"/>
      <c r="C51" s="41">
        <f>C50+C31</f>
        <v>3242453.6500000004</v>
      </c>
      <c r="D51" s="41">
        <f>D50+D31</f>
        <v>115411.2500000001</v>
      </c>
      <c r="E51" s="41">
        <f>E50+E31</f>
        <v>309618.55</v>
      </c>
      <c r="F51" s="41">
        <f>F50+F31</f>
        <v>1098000</v>
      </c>
      <c r="G51" s="41">
        <f>G50+G31</f>
        <v>3209982.97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27472964</v>
      </c>
      <c r="D56" s="95">
        <f>'DOE25'!G60</f>
        <v>0</v>
      </c>
      <c r="E56" s="95">
        <f>'DOE25'!H60</f>
        <v>0</v>
      </c>
      <c r="F56" s="95">
        <f>'DOE25'!I60</f>
        <v>0</v>
      </c>
      <c r="G56" s="95">
        <f>'DOE25'!J60</f>
        <v>0</v>
      </c>
      <c r="H56"/>
      <c r="I56"/>
    </row>
    <row r="57" spans="1:9" x14ac:dyDescent="0.2">
      <c r="A57" s="1" t="s">
        <v>164</v>
      </c>
      <c r="B57" s="6" t="s">
        <v>165</v>
      </c>
      <c r="C57" s="95">
        <f>'DOE25'!F79</f>
        <v>4762299.92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113186.15</v>
      </c>
      <c r="D59" s="95">
        <f>'DOE25'!G96</f>
        <v>0</v>
      </c>
      <c r="E59" s="95">
        <f>'DOE25'!H96</f>
        <v>0</v>
      </c>
      <c r="F59" s="95">
        <f>'DOE25'!I96</f>
        <v>0</v>
      </c>
      <c r="G59" s="95">
        <f>'DOE25'!J96</f>
        <v>47965.219999999994</v>
      </c>
      <c r="H59"/>
      <c r="I59"/>
    </row>
    <row r="60" spans="1:9" x14ac:dyDescent="0.2">
      <c r="A60" s="1" t="s">
        <v>170</v>
      </c>
      <c r="B60" s="118" t="s">
        <v>171</v>
      </c>
      <c r="C60" s="24" t="s">
        <v>288</v>
      </c>
      <c r="D60" s="95">
        <f>'DOE25'!G97</f>
        <v>370956</v>
      </c>
      <c r="E60" s="24" t="s">
        <v>288</v>
      </c>
      <c r="F60" s="24" t="s">
        <v>288</v>
      </c>
      <c r="G60" s="24" t="s">
        <v>288</v>
      </c>
      <c r="H60"/>
      <c r="I60"/>
    </row>
    <row r="61" spans="1:9" ht="12" thickBot="1" x14ac:dyDescent="0.25">
      <c r="A61" s="1" t="s">
        <v>172</v>
      </c>
      <c r="B61" s="118" t="s">
        <v>173</v>
      </c>
      <c r="C61" s="95">
        <f>SUM('DOE25'!F98:F110)</f>
        <v>371264.6</v>
      </c>
      <c r="D61" s="95">
        <f>SUM('DOE25'!G98:G110)</f>
        <v>0</v>
      </c>
      <c r="E61" s="95">
        <f>SUM('DOE25'!H98:H110)</f>
        <v>139455.97</v>
      </c>
      <c r="F61" s="95">
        <f>SUM('DOE25'!I98:I110)</f>
        <v>0</v>
      </c>
      <c r="G61" s="95">
        <f>SUM('DOE25'!J98:J110)</f>
        <v>0</v>
      </c>
      <c r="H61"/>
      <c r="I61"/>
    </row>
    <row r="62" spans="1:9" ht="12.75" thickTop="1" thickBot="1" x14ac:dyDescent="0.25">
      <c r="A62" s="29" t="s">
        <v>174</v>
      </c>
      <c r="B62" s="6"/>
      <c r="C62" s="130">
        <f>SUM(C57:C61)</f>
        <v>5246750.67</v>
      </c>
      <c r="D62" s="130">
        <f>SUM(D57:D61)</f>
        <v>370956</v>
      </c>
      <c r="E62" s="130">
        <f>SUM(E57:E61)</f>
        <v>139455.97</v>
      </c>
      <c r="F62" s="130">
        <f>SUM(F57:F61)</f>
        <v>0</v>
      </c>
      <c r="G62" s="130">
        <f>SUM(G57:G61)</f>
        <v>47965.219999999994</v>
      </c>
      <c r="H62"/>
      <c r="I62"/>
    </row>
    <row r="63" spans="1:9" ht="12" thickTop="1" x14ac:dyDescent="0.2">
      <c r="A63" s="29" t="s">
        <v>175</v>
      </c>
      <c r="B63" s="6"/>
      <c r="C63" s="22">
        <f>C56+C62</f>
        <v>32719714.670000002</v>
      </c>
      <c r="D63" s="22">
        <f>D56+D62</f>
        <v>370956</v>
      </c>
      <c r="E63" s="22">
        <f>E56+E62</f>
        <v>139455.97</v>
      </c>
      <c r="F63" s="22">
        <f>F56+F62</f>
        <v>0</v>
      </c>
      <c r="G63" s="22">
        <f>G56+G62</f>
        <v>47965.219999999994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t="e">
        <f>'DOE25'!#REF!</f>
        <v>#REF!</v>
      </c>
      <c r="D66" s="24" t="s">
        <v>288</v>
      </c>
      <c r="E66" s="24" t="s">
        <v>288</v>
      </c>
      <c r="F66" s="24" t="s">
        <v>288</v>
      </c>
      <c r="G66" s="24" t="s">
        <v>288</v>
      </c>
      <c r="H66"/>
      <c r="I66"/>
    </row>
    <row r="67" spans="1:9" x14ac:dyDescent="0.2">
      <c r="A67" s="1" t="s">
        <v>770</v>
      </c>
      <c r="B67" s="6">
        <v>3112</v>
      </c>
      <c r="C67" s="95">
        <f>'DOE25'!F118</f>
        <v>4281866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5768.31</v>
      </c>
      <c r="D69" s="95">
        <f>'DOE25'!G120</f>
        <v>0</v>
      </c>
      <c r="E69" s="95">
        <f>'DOE25'!H120</f>
        <v>0</v>
      </c>
      <c r="F69" s="95">
        <f>'DOE25'!I120</f>
        <v>0</v>
      </c>
      <c r="G69" s="95">
        <f>'DOE25'!J120</f>
        <v>0</v>
      </c>
      <c r="H69"/>
      <c r="I69"/>
    </row>
    <row r="70" spans="1:9" ht="12" thickTop="1" x14ac:dyDescent="0.2">
      <c r="A70" s="29" t="s">
        <v>252</v>
      </c>
      <c r="B70" s="2"/>
      <c r="C70" s="139" t="e">
        <f>SUM(C66:C69)</f>
        <v>#REF!</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526592.03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118959.94</v>
      </c>
      <c r="D74" s="24"/>
      <c r="E74" s="24"/>
      <c r="F74" s="24"/>
      <c r="G74" s="24"/>
      <c r="H74"/>
      <c r="I74"/>
    </row>
    <row r="75" spans="1:9" x14ac:dyDescent="0.2">
      <c r="A75" s="1" t="s">
        <v>256</v>
      </c>
      <c r="B75" s="6">
        <v>3230</v>
      </c>
      <c r="C75" s="95">
        <f>'DOE25'!F126</f>
        <v>359864.23</v>
      </c>
      <c r="D75" s="24" t="s">
        <v>288</v>
      </c>
      <c r="E75" s="24" t="s">
        <v>288</v>
      </c>
      <c r="F75" s="24" t="s">
        <v>288</v>
      </c>
      <c r="G75" s="24" t="s">
        <v>288</v>
      </c>
      <c r="H75"/>
      <c r="I75"/>
    </row>
    <row r="76" spans="1:9" x14ac:dyDescent="0.2">
      <c r="A76" s="1" t="s">
        <v>257</v>
      </c>
      <c r="B76" s="6" t="s">
        <v>179</v>
      </c>
      <c r="C76" s="95">
        <f>SUM('DOE25'!F127:F130)</f>
        <v>161834.36000000002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7768.65</v>
      </c>
      <c r="E77" s="95">
        <f>SUM('DOE25'!H131:H135)</f>
        <v>45817.83</v>
      </c>
      <c r="F77" s="95">
        <f>SUM('DOE25'!I131:I135)</f>
        <v>0</v>
      </c>
      <c r="G77" s="95">
        <f>SUM('DOE25'!J131:J135)</f>
        <v>0</v>
      </c>
      <c r="H77"/>
      <c r="I77"/>
    </row>
    <row r="78" spans="1:9" ht="12.75" thickTop="1" thickBot="1" x14ac:dyDescent="0.25">
      <c r="A78" s="29" t="s">
        <v>259</v>
      </c>
      <c r="B78" s="6"/>
      <c r="C78" s="130">
        <f>SUM(C72:C77)</f>
        <v>1167250.56</v>
      </c>
      <c r="D78" s="130">
        <f>SUM(D72:D77)</f>
        <v>7768.65</v>
      </c>
      <c r="E78" s="130">
        <f>SUM(E72:E77)</f>
        <v>45817.83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t="e">
        <f>SUM(C79:C80)+C78+C70</f>
        <v>#REF!</v>
      </c>
      <c r="D81" s="130">
        <f>SUM(D79:D80)+D78+D70</f>
        <v>7768.65</v>
      </c>
      <c r="E81" s="130">
        <f>SUM(E79:E80)+E78+E70</f>
        <v>45817.83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166410.65</v>
      </c>
      <c r="D88" s="95">
        <f>SUM('DOE25'!G153:G161)</f>
        <v>238521.15</v>
      </c>
      <c r="E88" s="95">
        <f>SUM('DOE25'!H153:H161)</f>
        <v>825496.53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166410.65</v>
      </c>
      <c r="D91" s="131">
        <f>SUM(D85:D90)</f>
        <v>238521.15</v>
      </c>
      <c r="E91" s="131">
        <f>SUM(E85:E90)</f>
        <v>825496.53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600000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467481.51</v>
      </c>
      <c r="D99" s="95">
        <f>'DOE25'!G185</f>
        <v>0</v>
      </c>
      <c r="E99" s="95">
        <f>'DOE25'!H185</f>
        <v>0</v>
      </c>
      <c r="F99" s="95">
        <f>'DOE25'!I185</f>
        <v>1098000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467481.51</v>
      </c>
      <c r="D103" s="86">
        <f>SUM(D93:D102)</f>
        <v>0</v>
      </c>
      <c r="E103" s="86">
        <f>SUM(E93:E102)</f>
        <v>0</v>
      </c>
      <c r="F103" s="86">
        <f>SUM(F93:F102)</f>
        <v>1098000</v>
      </c>
      <c r="G103" s="86">
        <f>SUM(G93:G102)</f>
        <v>600000</v>
      </c>
    </row>
    <row r="104" spans="1:7" ht="12.75" thickTop="1" thickBot="1" x14ac:dyDescent="0.25">
      <c r="A104" s="33" t="s">
        <v>761</v>
      </c>
      <c r="C104" s="86" t="e">
        <f>C63+C81+C91+C103</f>
        <v>#REF!</v>
      </c>
      <c r="D104" s="86">
        <f>D63+D81+D91+D103</f>
        <v>617245.80000000005</v>
      </c>
      <c r="E104" s="86">
        <f>E63+E81+E91+E103</f>
        <v>1010770.3300000001</v>
      </c>
      <c r="F104" s="86">
        <f>F63+F81+F91+F103</f>
        <v>1098000</v>
      </c>
      <c r="G104" s="86">
        <f>G63+G81+G103</f>
        <v>647965.22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17372402.310000002</v>
      </c>
      <c r="D109" s="24" t="s">
        <v>288</v>
      </c>
      <c r="E109" s="95">
        <f>('DOE25'!L276)+('DOE25'!L295)+('DOE25'!L314)</f>
        <v>289672.26999999996</v>
      </c>
      <c r="F109" s="24" t="s">
        <v>288</v>
      </c>
      <c r="G109" s="24" t="s">
        <v>288</v>
      </c>
    </row>
    <row r="110" spans="1:7" x14ac:dyDescent="0.2">
      <c r="A110" t="s">
        <v>198</v>
      </c>
      <c r="B110" s="32" t="s">
        <v>199</v>
      </c>
      <c r="C110" s="95">
        <f>('DOE25'!L198)+('DOE25'!L216)+('DOE25'!L234)</f>
        <v>7724280.6900000004</v>
      </c>
      <c r="D110" s="24" t="s">
        <v>288</v>
      </c>
      <c r="E110" s="95">
        <f>('DOE25'!L277)+('DOE25'!L296)+('DOE25'!L315)</f>
        <v>433679.32999999996</v>
      </c>
      <c r="F110" s="24" t="s">
        <v>288</v>
      </c>
      <c r="G110" s="24" t="s">
        <v>288</v>
      </c>
    </row>
    <row r="111" spans="1:7" x14ac:dyDescent="0.2">
      <c r="A111" t="s">
        <v>200</v>
      </c>
      <c r="B111" s="32" t="s">
        <v>165</v>
      </c>
      <c r="C111" s="95">
        <f>('DOE25'!L199)+('DOE25'!L217)+('DOE25'!L235)</f>
        <v>533481</v>
      </c>
      <c r="D111" s="24" t="s">
        <v>288</v>
      </c>
      <c r="E111" s="95">
        <f>('DOE25'!L278)+('DOE25'!L297)+('DOE25'!L316)</f>
        <v>0</v>
      </c>
      <c r="F111" s="24" t="s">
        <v>288</v>
      </c>
      <c r="G111" s="24" t="s">
        <v>288</v>
      </c>
    </row>
    <row r="112" spans="1:7" x14ac:dyDescent="0.2">
      <c r="A112" t="s">
        <v>201</v>
      </c>
      <c r="B112" s="32" t="s">
        <v>167</v>
      </c>
      <c r="C112" s="95">
        <f>('DOE25'!L200)+('DOE25'!L218)+('DOE25'!L236)</f>
        <v>813251.12</v>
      </c>
      <c r="D112" s="24" t="s">
        <v>288</v>
      </c>
      <c r="E112" s="95">
        <f>+('DOE25'!L279)+('DOE25'!L298)+('DOE25'!L317)</f>
        <v>53547.040000000001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16949.8</v>
      </c>
      <c r="F114" s="24" t="s">
        <v>288</v>
      </c>
      <c r="G114" s="24" t="s">
        <v>288</v>
      </c>
    </row>
    <row r="115" spans="1:7" ht="12.75" thickTop="1" thickBot="1" x14ac:dyDescent="0.25">
      <c r="A115" s="33" t="s">
        <v>205</v>
      </c>
      <c r="C115" s="86">
        <f>SUM(C109:C114)</f>
        <v>26443415.120000005</v>
      </c>
      <c r="D115" s="86">
        <f>SUM(D109:D114)</f>
        <v>0</v>
      </c>
      <c r="E115" s="86">
        <f>SUM(E109:E114)</f>
        <v>793848.44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1715983.2</v>
      </c>
      <c r="D118" s="24" t="s">
        <v>288</v>
      </c>
      <c r="E118" s="95">
        <f>+('DOE25'!L281)+('DOE25'!L300)+('DOE25'!L319)</f>
        <v>19251.27</v>
      </c>
      <c r="F118" s="24" t="s">
        <v>288</v>
      </c>
      <c r="G118" s="24" t="s">
        <v>288</v>
      </c>
    </row>
    <row r="119" spans="1:7" x14ac:dyDescent="0.2">
      <c r="A119" t="s">
        <v>208</v>
      </c>
      <c r="B119" s="32" t="s">
        <v>209</v>
      </c>
      <c r="C119" s="95">
        <f>('DOE25'!L203)+('DOE25'!L221)+('DOE25'!L239)</f>
        <v>2233733.08</v>
      </c>
      <c r="D119" s="24" t="s">
        <v>288</v>
      </c>
      <c r="E119" s="95">
        <f>+('DOE25'!L282)+('DOE25'!L301)+('DOE25'!L320)</f>
        <v>66430.880000000005</v>
      </c>
      <c r="F119" s="24" t="s">
        <v>288</v>
      </c>
      <c r="G119" s="24" t="s">
        <v>288</v>
      </c>
    </row>
    <row r="120" spans="1:7" x14ac:dyDescent="0.2">
      <c r="A120" t="s">
        <v>210</v>
      </c>
      <c r="B120" s="32" t="s">
        <v>211</v>
      </c>
      <c r="C120" s="95">
        <f>('DOE25'!L204)+('DOE25'!L222)+('DOE25'!L240)</f>
        <v>1403575.2</v>
      </c>
      <c r="D120" s="24" t="s">
        <v>288</v>
      </c>
      <c r="E120" s="95">
        <f>+('DOE25'!L283)+('DOE25'!L302)+('DOE25'!L321)</f>
        <v>3911.7499999999991</v>
      </c>
      <c r="F120" s="24" t="s">
        <v>288</v>
      </c>
      <c r="G120" s="24" t="s">
        <v>288</v>
      </c>
    </row>
    <row r="121" spans="1:7" x14ac:dyDescent="0.2">
      <c r="A121" t="s">
        <v>212</v>
      </c>
      <c r="B121" s="32" t="s">
        <v>213</v>
      </c>
      <c r="C121" s="95">
        <f>('DOE25'!L205)+('DOE25'!L223)+('DOE25'!L241)</f>
        <v>2060435.85</v>
      </c>
      <c r="D121" s="24" t="s">
        <v>288</v>
      </c>
      <c r="E121" s="95">
        <f>+('DOE25'!L284)+('DOE25'!L303)+('DOE25'!L322)</f>
        <v>71025.34</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2900141.0100000002</v>
      </c>
      <c r="D123" s="24" t="s">
        <v>288</v>
      </c>
      <c r="E123" s="95">
        <f>+('DOE25'!L286)+('DOE25'!L305)+('DOE25'!L324)</f>
        <v>0</v>
      </c>
      <c r="F123" s="24" t="s">
        <v>288</v>
      </c>
      <c r="G123" s="24" t="s">
        <v>288</v>
      </c>
    </row>
    <row r="124" spans="1:7" x14ac:dyDescent="0.2">
      <c r="A124" t="s">
        <v>218</v>
      </c>
      <c r="B124" s="32" t="s">
        <v>219</v>
      </c>
      <c r="C124" s="95">
        <f>('DOE25'!L208)+('DOE25'!L226)+('DOE25'!L244+'DOE25'!L254)</f>
        <v>966257.74999999988</v>
      </c>
      <c r="D124" s="24" t="s">
        <v>288</v>
      </c>
      <c r="E124" s="95">
        <f>+('DOE25'!L287)+('DOE25'!L306)+('DOE25'!L325)</f>
        <v>1810.51</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622709.42999999993</v>
      </c>
      <c r="E127" s="24" t="s">
        <v>288</v>
      </c>
      <c r="F127" s="24" t="s">
        <v>288</v>
      </c>
      <c r="G127" s="24" t="s">
        <v>288</v>
      </c>
    </row>
    <row r="128" spans="1:7" ht="12.75" thickTop="1" thickBot="1" x14ac:dyDescent="0.25">
      <c r="A128" s="33" t="s">
        <v>226</v>
      </c>
      <c r="C128" s="86">
        <f>SUM(C118:C127)</f>
        <v>11280126.09</v>
      </c>
      <c r="D128" s="86">
        <f>SUM(D118:D127)</f>
        <v>622709.42999999993</v>
      </c>
      <c r="E128" s="86">
        <f>SUM(E118:E127)</f>
        <v>162429.75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352602.92</v>
      </c>
      <c r="D130" s="24" t="s">
        <v>288</v>
      </c>
      <c r="E130" s="129">
        <f>'DOE25'!L336</f>
        <v>0</v>
      </c>
      <c r="F130" s="129">
        <f>SUM('DOE25'!L374:'DOE25'!L380)</f>
        <v>228495.24</v>
      </c>
      <c r="G130" s="24" t="s">
        <v>288</v>
      </c>
    </row>
    <row r="131" spans="1:7" x14ac:dyDescent="0.2">
      <c r="A131" t="s">
        <v>229</v>
      </c>
      <c r="B131" s="32">
        <v>5110</v>
      </c>
      <c r="C131" s="95">
        <f>'DOE25'!L260</f>
        <v>1243162.81</v>
      </c>
      <c r="D131" s="24" t="s">
        <v>288</v>
      </c>
      <c r="E131" s="129">
        <f>'DOE25'!L341</f>
        <v>0</v>
      </c>
      <c r="F131" s="24" t="s">
        <v>288</v>
      </c>
      <c r="G131" s="24" t="s">
        <v>288</v>
      </c>
    </row>
    <row r="132" spans="1:7" x14ac:dyDescent="0.2">
      <c r="A132" t="s">
        <v>230</v>
      </c>
      <c r="B132" s="32">
        <v>5120</v>
      </c>
      <c r="C132" s="95">
        <f>'DOE25'!L261</f>
        <v>802860.39</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1098000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339341.7</v>
      </c>
      <c r="D138" s="24" t="s">
        <v>288</v>
      </c>
      <c r="E138" s="24" t="s">
        <v>288</v>
      </c>
      <c r="F138" s="24" t="s">
        <v>288</v>
      </c>
      <c r="G138" s="24" t="s">
        <v>288</v>
      </c>
    </row>
    <row r="139" spans="1:7" x14ac:dyDescent="0.2">
      <c r="A139" t="s">
        <v>239</v>
      </c>
      <c r="B139" s="32">
        <v>5252</v>
      </c>
      <c r="C139" s="95">
        <f>'DOE25'!L401</f>
        <v>308623.52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-47965.219999999972</v>
      </c>
      <c r="D141" s="24" t="s">
        <v>288</v>
      </c>
      <c r="E141" s="24" t="s">
        <v>288</v>
      </c>
      <c r="F141" s="24" t="s">
        <v>288</v>
      </c>
      <c r="G141" s="24" t="s">
        <v>288</v>
      </c>
    </row>
    <row r="142" spans="1:7" x14ac:dyDescent="0.2">
      <c r="A142" t="s">
        <v>241</v>
      </c>
      <c r="B142" s="32">
        <v>5310</v>
      </c>
      <c r="C142" s="129">
        <f>'DOE25'!L268</f>
        <v>98380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3097006.12</v>
      </c>
      <c r="D144" s="141">
        <f>SUM(D130:D143)</f>
        <v>0</v>
      </c>
      <c r="E144" s="141">
        <f>SUM(E130:E143)</f>
        <v>0</v>
      </c>
      <c r="F144" s="141">
        <f>SUM(F130:F143)</f>
        <v>228495.24</v>
      </c>
      <c r="G144" s="141">
        <f>SUM(G130:G143)</f>
        <v>1098000</v>
      </c>
    </row>
    <row r="145" spans="1:9" ht="12.75" thickTop="1" thickBot="1" x14ac:dyDescent="0.25">
      <c r="A145" s="33" t="s">
        <v>244</v>
      </c>
      <c r="C145" s="86">
        <f>(C115+C128+C144)</f>
        <v>40820547.330000006</v>
      </c>
      <c r="D145" s="86">
        <f>(D115+D128+D144)</f>
        <v>622709.42999999993</v>
      </c>
      <c r="E145" s="86">
        <f>(E115+E128+E144)</f>
        <v>956278.19</v>
      </c>
      <c r="F145" s="86">
        <f>(F115+F128+F144)</f>
        <v>228495.24</v>
      </c>
      <c r="G145" s="86">
        <f>(G115+G128+G144)</f>
        <v>1098000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1/11</v>
      </c>
      <c r="C152" s="152">
        <f>'DOE25'!G491</f>
        <v>0</v>
      </c>
      <c r="D152" s="152">
        <f>'DOE25'!H491</f>
        <v>0</v>
      </c>
      <c r="E152" s="152">
        <f>'DOE25'!I491</f>
        <v>0</v>
      </c>
      <c r="F152" s="152">
        <f>'DOE25'!J491</f>
        <v>0</v>
      </c>
      <c r="G152" s="24" t="s">
        <v>288</v>
      </c>
    </row>
    <row r="153" spans="1:9" x14ac:dyDescent="0.2">
      <c r="A153" s="136" t="s">
        <v>29</v>
      </c>
      <c r="B153" s="152" t="str">
        <f>'DOE25'!F492</f>
        <v>1/32</v>
      </c>
      <c r="C153" s="152">
        <f>'DOE25'!G492</f>
        <v>0</v>
      </c>
      <c r="D153" s="152">
        <f>'DOE25'!H492</f>
        <v>0</v>
      </c>
      <c r="E153" s="152">
        <f>'DOE25'!I492</f>
        <v>0</v>
      </c>
      <c r="F153" s="152">
        <f>'DOE25'!J492</f>
        <v>0</v>
      </c>
      <c r="G153" s="24" t="s">
        <v>288</v>
      </c>
    </row>
    <row r="154" spans="1:9" x14ac:dyDescent="0.2">
      <c r="A154" s="136" t="s">
        <v>30</v>
      </c>
      <c r="B154" s="137">
        <f>'DOE25'!F493</f>
        <v>23650600</v>
      </c>
      <c r="C154" s="137">
        <f>'DOE25'!G493</f>
        <v>0</v>
      </c>
      <c r="D154" s="137">
        <f>'DOE25'!H493</f>
        <v>0</v>
      </c>
      <c r="E154" s="137">
        <f>'DOE25'!I493</f>
        <v>0</v>
      </c>
      <c r="F154" s="137">
        <f>'DOE25'!J493</f>
        <v>0</v>
      </c>
      <c r="G154" s="24" t="s">
        <v>288</v>
      </c>
    </row>
    <row r="155" spans="1:9" x14ac:dyDescent="0.2">
      <c r="A155" s="136" t="s">
        <v>31</v>
      </c>
      <c r="B155" s="137">
        <f>'DOE25'!F494</f>
        <v>3.38</v>
      </c>
      <c r="C155" s="137">
        <f>'DOE25'!G494</f>
        <v>0</v>
      </c>
      <c r="D155" s="137">
        <f>'DOE25'!H494</f>
        <v>0</v>
      </c>
      <c r="E155" s="137">
        <f>'DOE25'!I494</f>
        <v>0</v>
      </c>
      <c r="F155" s="137">
        <f>'DOE25'!J494</f>
        <v>0</v>
      </c>
      <c r="G155" s="24" t="s">
        <v>288</v>
      </c>
    </row>
    <row r="156" spans="1:9" x14ac:dyDescent="0.2">
      <c r="A156" s="22" t="s">
        <v>32</v>
      </c>
      <c r="B156" s="137">
        <f>'DOE25'!F495</f>
        <v>16545000</v>
      </c>
      <c r="C156" s="137">
        <f>'DOE25'!G495</f>
        <v>0</v>
      </c>
      <c r="D156" s="137">
        <f>'DOE25'!H495</f>
        <v>0</v>
      </c>
      <c r="E156" s="137">
        <f>'DOE25'!I495</f>
        <v>0</v>
      </c>
      <c r="F156" s="137">
        <f>'DOE25'!J495</f>
        <v>0</v>
      </c>
      <c r="G156" s="138">
        <f>SUM(B156:F156)</f>
        <v>16545000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1185000</v>
      </c>
      <c r="C158" s="137">
        <f>'DOE25'!G497</f>
        <v>0</v>
      </c>
      <c r="D158" s="137">
        <f>'DOE25'!H497</f>
        <v>0</v>
      </c>
      <c r="E158" s="137">
        <f>'DOE25'!I497</f>
        <v>0</v>
      </c>
      <c r="F158" s="137">
        <f>'DOE25'!J497</f>
        <v>0</v>
      </c>
      <c r="G158" s="138">
        <f t="shared" si="0"/>
        <v>1185000</v>
      </c>
    </row>
    <row r="159" spans="1:9" x14ac:dyDescent="0.2">
      <c r="A159" s="22" t="s">
        <v>35</v>
      </c>
      <c r="B159" s="137">
        <f>'DOE25'!F498</f>
        <v>15360000</v>
      </c>
      <c r="C159" s="137">
        <f>'DOE25'!G498</f>
        <v>0</v>
      </c>
      <c r="D159" s="137">
        <f>'DOE25'!H498</f>
        <v>0</v>
      </c>
      <c r="E159" s="137">
        <f>'DOE25'!I498</f>
        <v>0</v>
      </c>
      <c r="F159" s="137">
        <f>'DOE25'!J498</f>
        <v>0</v>
      </c>
      <c r="G159" s="138">
        <f t="shared" si="0"/>
        <v>15360000</v>
      </c>
    </row>
    <row r="160" spans="1:9" x14ac:dyDescent="0.2">
      <c r="A160" s="22" t="s">
        <v>36</v>
      </c>
      <c r="B160" s="137">
        <f>'DOE25'!F499</f>
        <v>4276600</v>
      </c>
      <c r="C160" s="137">
        <f>'DOE25'!G499</f>
        <v>0</v>
      </c>
      <c r="D160" s="137">
        <f>'DOE25'!H499</f>
        <v>0</v>
      </c>
      <c r="E160" s="137">
        <f>'DOE25'!I499</f>
        <v>0</v>
      </c>
      <c r="F160" s="137">
        <f>'DOE25'!J499</f>
        <v>0</v>
      </c>
      <c r="G160" s="138">
        <f t="shared" si="0"/>
        <v>4276600</v>
      </c>
    </row>
    <row r="161" spans="1:7" x14ac:dyDescent="0.2">
      <c r="A161" s="22" t="s">
        <v>37</v>
      </c>
      <c r="B161" s="137">
        <f>'DOE25'!F500</f>
        <v>19636600</v>
      </c>
      <c r="C161" s="137">
        <f>'DOE25'!G500</f>
        <v>0</v>
      </c>
      <c r="D161" s="137">
        <f>'DOE25'!H500</f>
        <v>0</v>
      </c>
      <c r="E161" s="137">
        <f>'DOE25'!I500</f>
        <v>0</v>
      </c>
      <c r="F161" s="137">
        <f>'DOE25'!J500</f>
        <v>0</v>
      </c>
      <c r="G161" s="138">
        <f t="shared" si="0"/>
        <v>19636600</v>
      </c>
    </row>
    <row r="162" spans="1:7" x14ac:dyDescent="0.2">
      <c r="A162" s="22" t="s">
        <v>38</v>
      </c>
      <c r="B162" s="137">
        <f>'DOE25'!F501</f>
        <v>1185000</v>
      </c>
      <c r="C162" s="137">
        <f>'DOE25'!G501</f>
        <v>0</v>
      </c>
      <c r="D162" s="137">
        <f>'DOE25'!H501</f>
        <v>0</v>
      </c>
      <c r="E162" s="137">
        <f>'DOE25'!I501</f>
        <v>0</v>
      </c>
      <c r="F162" s="137">
        <f>'DOE25'!J501</f>
        <v>0</v>
      </c>
      <c r="G162" s="138">
        <f t="shared" si="0"/>
        <v>1185000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1185000</v>
      </c>
      <c r="C164" s="137">
        <f>'DOE25'!G503</f>
        <v>0</v>
      </c>
      <c r="D164" s="137">
        <f>'DOE25'!H503</f>
        <v>0</v>
      </c>
      <c r="E164" s="137">
        <f>'DOE25'!I503</f>
        <v>0</v>
      </c>
      <c r="F164" s="137">
        <f>'DOE25'!J503</f>
        <v>0</v>
      </c>
      <c r="G164" s="138">
        <f t="shared" si="0"/>
        <v>1185000</v>
      </c>
    </row>
  </sheetData>
  <sheetProtection algorithmName="SHA-512" hashValue="HFiod9tVF4iZhXe7rPHSMq95oqoSQQvi4hIg5rhAf6KlTSkI9cYr+LzpOBEB3AGEmJP7Fs16qgvmSpomO5B3ZQ==" saltValue="WSgqSf35lyz8l/DRw+SO7Q==" spinCount="100000"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abSelected="1" workbookViewId="0">
      <selection activeCell="A37" sqref="A37"/>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Lebanon</v>
      </c>
    </row>
    <row r="3" spans="1:4" x14ac:dyDescent="0.2">
      <c r="B3" s="188" t="s">
        <v>1602</v>
      </c>
    </row>
    <row r="4" spans="1:4" x14ac:dyDescent="0.2">
      <c r="B4" t="s">
        <v>61</v>
      </c>
      <c r="C4" s="179">
        <f>IF('DOE25'!F665+'DOE25'!F670=0,0,ROUND('DOE25'!F672,0))</f>
        <v>25575</v>
      </c>
    </row>
    <row r="5" spans="1:4" x14ac:dyDescent="0.2">
      <c r="B5" t="s">
        <v>700</v>
      </c>
      <c r="C5" s="179">
        <f>IF('DOE25'!G665+'DOE25'!G670=0,0,ROUND('DOE25'!G672,0))</f>
        <v>20904</v>
      </c>
    </row>
    <row r="6" spans="1:4" x14ac:dyDescent="0.2">
      <c r="B6" t="s">
        <v>62</v>
      </c>
      <c r="C6" s="179">
        <f>IF('DOE25'!H665+'DOE25'!H670=0,0,ROUND('DOE25'!H672,0))</f>
        <v>20457</v>
      </c>
    </row>
    <row r="7" spans="1:4" x14ac:dyDescent="0.2">
      <c r="B7" t="s">
        <v>701</v>
      </c>
      <c r="C7" s="179">
        <f>IF('DOE25'!I665+'DOE25'!I670=0,0,ROUND('DOE25'!I672,0))</f>
        <v>22343</v>
      </c>
    </row>
    <row r="9" spans="1:4" x14ac:dyDescent="0.2">
      <c r="A9" s="187" t="s">
        <v>94</v>
      </c>
      <c r="B9" s="188" t="s">
        <v>1603</v>
      </c>
      <c r="C9" s="181" t="s">
        <v>720</v>
      </c>
      <c r="D9" s="181" t="s">
        <v>721</v>
      </c>
    </row>
    <row r="10" spans="1:4" x14ac:dyDescent="0.2">
      <c r="A10">
        <v>1100</v>
      </c>
      <c r="B10" t="s">
        <v>702</v>
      </c>
      <c r="C10" s="179">
        <f>ROUND('DOE25'!L197+'DOE25'!L215+'DOE25'!L233+'DOE25'!L276+'DOE25'!L295+'DOE25'!L314,0)</f>
        <v>17662075</v>
      </c>
      <c r="D10" s="182">
        <f>ROUND((C10/$C$28)*100,1)</f>
        <v>44.3</v>
      </c>
    </row>
    <row r="11" spans="1:4" x14ac:dyDescent="0.2">
      <c r="A11">
        <v>1200</v>
      </c>
      <c r="B11" t="s">
        <v>703</v>
      </c>
      <c r="C11" s="179">
        <f>ROUND('DOE25'!L198+'DOE25'!L216+'DOE25'!L234+'DOE25'!L277+'DOE25'!L296+'DOE25'!L315,0)</f>
        <v>8157960</v>
      </c>
      <c r="D11" s="182">
        <f>ROUND((C11/$C$28)*100,1)</f>
        <v>20.5</v>
      </c>
    </row>
    <row r="12" spans="1:4" x14ac:dyDescent="0.2">
      <c r="A12">
        <v>1300</v>
      </c>
      <c r="B12" t="s">
        <v>704</v>
      </c>
      <c r="C12" s="179">
        <f>ROUND('DOE25'!L199+'DOE25'!L217+'DOE25'!L235+'DOE25'!L278+'DOE25'!L297+'DOE25'!L316,0)</f>
        <v>533481</v>
      </c>
      <c r="D12" s="182">
        <f>ROUND((C12/$C$28)*100,1)</f>
        <v>1.3</v>
      </c>
    </row>
    <row r="13" spans="1:4" x14ac:dyDescent="0.2">
      <c r="A13">
        <v>1400</v>
      </c>
      <c r="B13" t="s">
        <v>705</v>
      </c>
      <c r="C13" s="179">
        <f>ROUND('DOE25'!L200+'DOE25'!L218+'DOE25'!L236+'DOE25'!L279+'DOE25'!L298+'DOE25'!L317,0)</f>
        <v>866798</v>
      </c>
      <c r="D13" s="182">
        <f>ROUND((C13/$C$28)*100,1)</f>
        <v>2.2000000000000002</v>
      </c>
    </row>
    <row r="14" spans="1:4" x14ac:dyDescent="0.2">
      <c r="D14" s="182"/>
    </row>
    <row r="15" spans="1:4" x14ac:dyDescent="0.2">
      <c r="A15">
        <v>2100</v>
      </c>
      <c r="B15" t="s">
        <v>706</v>
      </c>
      <c r="C15" s="179">
        <f>ROUND('DOE25'!L202+'DOE25'!L220+'DOE25'!L238+'DOE25'!L281+'DOE25'!L300+'DOE25'!L319,0)</f>
        <v>1735234</v>
      </c>
      <c r="D15" s="182">
        <f t="shared" ref="D15:D27" si="0">ROUND((C15/$C$28)*100,1)</f>
        <v>4.4000000000000004</v>
      </c>
    </row>
    <row r="16" spans="1:4" x14ac:dyDescent="0.2">
      <c r="A16">
        <v>2200</v>
      </c>
      <c r="B16" t="s">
        <v>707</v>
      </c>
      <c r="C16" s="179">
        <f>ROUND('DOE25'!L203+'DOE25'!L221+'DOE25'!L239+'DOE25'!L282+'DOE25'!L301+'DOE25'!L320,0)</f>
        <v>2300164</v>
      </c>
      <c r="D16" s="182">
        <f t="shared" si="0"/>
        <v>5.8</v>
      </c>
    </row>
    <row r="17" spans="1:4" x14ac:dyDescent="0.2">
      <c r="A17" s="183" t="s">
        <v>723</v>
      </c>
      <c r="B17" t="s">
        <v>738</v>
      </c>
      <c r="C17" s="179">
        <f>ROUND('DOE25'!L204+'DOE25'!L209+'DOE25'!L222+'DOE25'!L227+'DOE25'!L240+'DOE25'!L245+'DOE25'!L283+'DOE25'!L288+'DOE25'!L302+'DOE25'!L307+'DOE25'!L321+'DOE25'!L326,0)</f>
        <v>1407487</v>
      </c>
      <c r="D17" s="182">
        <f t="shared" si="0"/>
        <v>3.5</v>
      </c>
    </row>
    <row r="18" spans="1:4" x14ac:dyDescent="0.2">
      <c r="A18">
        <v>2400</v>
      </c>
      <c r="B18" t="s">
        <v>711</v>
      </c>
      <c r="C18" s="179">
        <f>ROUND('DOE25'!L205+'DOE25'!L223+'DOE25'!L241+'DOE25'!L284+'DOE25'!L303+'DOE25'!L322,0)</f>
        <v>2131461</v>
      </c>
      <c r="D18" s="182">
        <f t="shared" si="0"/>
        <v>5.4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2900141</v>
      </c>
      <c r="D20" s="182">
        <f t="shared" si="0"/>
        <v>7.3</v>
      </c>
    </row>
    <row r="21" spans="1:4" x14ac:dyDescent="0.2">
      <c r="A21">
        <v>2700</v>
      </c>
      <c r="B21" t="s">
        <v>710</v>
      </c>
      <c r="C21" s="179">
        <f>ROUND('DOE25'!L208+'DOE25'!L226+'DOE25'!L244+'DOE25'!L287+'DOE25'!L306+'DOE25'!L325,0)</f>
        <v>968068</v>
      </c>
      <c r="D21" s="182">
        <f t="shared" si="0"/>
        <v>2.4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16950</v>
      </c>
      <c r="D24" s="182">
        <f t="shared" si="0"/>
        <v>0</v>
      </c>
    </row>
    <row r="25" spans="1:4" x14ac:dyDescent="0.2">
      <c r="A25">
        <v>5120</v>
      </c>
      <c r="B25" t="s">
        <v>716</v>
      </c>
      <c r="C25" s="179">
        <f>ROUND('DOE25'!L261+'DOE25'!L342,0)</f>
        <v>802860</v>
      </c>
      <c r="D25" s="182">
        <f t="shared" si="0"/>
        <v>2</v>
      </c>
    </row>
    <row r="26" spans="1:4" x14ac:dyDescent="0.2">
      <c r="A26" s="183" t="s">
        <v>717</v>
      </c>
      <c r="B26" t="s">
        <v>718</v>
      </c>
      <c r="C26" s="179">
        <f>'DOE25'!L268+'DOE25'!L269+'DOE25'!L349+'DOE25'!L350</f>
        <v>98380</v>
      </c>
      <c r="D26" s="182">
        <f t="shared" si="0"/>
        <v>0.2</v>
      </c>
    </row>
    <row r="27" spans="1:4" x14ac:dyDescent="0.2">
      <c r="A27">
        <v>3100</v>
      </c>
      <c r="B27" t="s">
        <v>11</v>
      </c>
      <c r="C27" s="179">
        <f>ROUND('DOE25'!L362-'DOE25'!L361,0)-SUM('DOE25'!G97:G110)</f>
        <v>251753</v>
      </c>
      <c r="D27" s="182">
        <f t="shared" si="0"/>
        <v>0.6</v>
      </c>
    </row>
    <row r="28" spans="1:4" x14ac:dyDescent="0.2">
      <c r="B28" s="187" t="s">
        <v>719</v>
      </c>
      <c r="C28" s="180">
        <f>SUM(C10:C27)</f>
        <v>39832812</v>
      </c>
      <c r="D28" s="184">
        <f>ROUND(SUM(D10:D27),0)</f>
        <v>100</v>
      </c>
    </row>
    <row r="29" spans="1:4" x14ac:dyDescent="0.2">
      <c r="A29">
        <v>4000</v>
      </c>
      <c r="B29" t="s">
        <v>724</v>
      </c>
      <c r="C29" s="179">
        <f>ROUND('DOE25'!L255+'DOE25'!L336+'DOE25'!L374+'DOE25'!L375+'DOE25'!L376+'DOE25'!L377+'DOE25'!L378+'DOE25'!L379+'DOE25'!L380,0)</f>
        <v>581098</v>
      </c>
    </row>
    <row r="30" spans="1:4" x14ac:dyDescent="0.2">
      <c r="B30" s="187" t="s">
        <v>725</v>
      </c>
      <c r="C30" s="180">
        <f>SUM(C28:C29)</f>
        <v>40413910</v>
      </c>
    </row>
    <row r="31" spans="1:4" x14ac:dyDescent="0.2">
      <c r="B31" s="33"/>
      <c r="C31" s="180"/>
    </row>
    <row r="32" spans="1:4" x14ac:dyDescent="0.2">
      <c r="A32">
        <v>5100</v>
      </c>
      <c r="B32" s="33" t="s">
        <v>726</v>
      </c>
      <c r="C32" s="180">
        <f>ROUND('DOE25'!L260+'DOE25'!L341,0)</f>
        <v>1243163</v>
      </c>
    </row>
    <row r="34" spans="1:4" x14ac:dyDescent="0.2">
      <c r="A34" s="187" t="s">
        <v>94</v>
      </c>
      <c r="B34" s="188" t="s">
        <v>1604</v>
      </c>
      <c r="C34" s="181" t="s">
        <v>720</v>
      </c>
      <c r="D34" s="181" t="s">
        <v>721</v>
      </c>
    </row>
    <row r="35" spans="1:4" x14ac:dyDescent="0.2">
      <c r="A35">
        <v>1100</v>
      </c>
      <c r="B35" s="185" t="s">
        <v>727</v>
      </c>
      <c r="C35" s="179">
        <f>ROUND('DOE25'!F60+'DOE25'!G60+'DOE25'!H60+'DOE25'!I60+'DOE25'!J60,0)</f>
        <v>27472964</v>
      </c>
      <c r="D35" s="182">
        <f t="shared" ref="D35:D40" si="1">ROUND((C35/$C$41)*100,1)</f>
        <v>65.7</v>
      </c>
    </row>
    <row r="36" spans="1:4" x14ac:dyDescent="0.2">
      <c r="B36" s="185" t="s">
        <v>739</v>
      </c>
      <c r="C36" s="179">
        <f>SUM('DOE25'!F112:J112)-SUM('DOE25'!G97:G110)+('DOE25'!F174+'DOE25'!F175+'DOE25'!I174+'DOE25'!I175)-C35</f>
        <v>5434171.8599999994</v>
      </c>
      <c r="D36" s="182">
        <f t="shared" si="1"/>
        <v>13</v>
      </c>
    </row>
    <row r="37" spans="1:4" x14ac:dyDescent="0.2">
      <c r="A37" s="183" t="s">
        <v>835</v>
      </c>
      <c r="B37" s="185" t="s">
        <v>728</v>
      </c>
      <c r="C37" s="179">
        <f>ROUND('DOE25'!F117+'DOE25'!F118,0)</f>
        <v>6448722</v>
      </c>
      <c r="D37" s="182">
        <f t="shared" si="1"/>
        <v>15.4</v>
      </c>
    </row>
    <row r="38" spans="1:4" x14ac:dyDescent="0.2">
      <c r="A38" s="183" t="s">
        <v>734</v>
      </c>
      <c r="B38" s="185" t="s">
        <v>729</v>
      </c>
      <c r="C38" s="179">
        <f>ROUND(SUM('DOE25'!F140:J140)-SUM('DOE25'!F117:F119),0)</f>
        <v>1226605</v>
      </c>
      <c r="D38" s="182">
        <f t="shared" si="1"/>
        <v>2.9</v>
      </c>
    </row>
    <row r="39" spans="1:4" x14ac:dyDescent="0.2">
      <c r="A39">
        <v>4000</v>
      </c>
      <c r="B39" s="185" t="s">
        <v>730</v>
      </c>
      <c r="C39" s="179">
        <f>ROUND('DOE25'!F169+'DOE25'!G169+'DOE25'!H169+'DOE25'!I169,0)</f>
        <v>1230428</v>
      </c>
      <c r="D39" s="182">
        <f t="shared" si="1"/>
        <v>2.9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41812890.859999999</v>
      </c>
      <c r="D41" s="184">
        <f>SUM(D35:D40)</f>
        <v>99.90000000000002</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Lebanon</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2019-10-31T14:16:46Z</cp:lastPrinted>
  <dcterms:created xsi:type="dcterms:W3CDTF">1997-12-04T19:04:30Z</dcterms:created>
  <dcterms:modified xsi:type="dcterms:W3CDTF">2020-01-22T13:28:52Z</dcterms:modified>
</cp:coreProperties>
</file>