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28" i="1" l="1"/>
  <c r="H582" i="1" l="1"/>
  <c r="K523" i="1"/>
  <c r="J523" i="1"/>
  <c r="H523" i="1"/>
  <c r="K522" i="1"/>
  <c r="J522" i="1"/>
  <c r="H522" i="1"/>
  <c r="K521" i="1"/>
  <c r="J521" i="1"/>
  <c r="H521" i="1"/>
  <c r="G523" i="1"/>
  <c r="G522" i="1"/>
  <c r="G521" i="1"/>
  <c r="F523" i="1"/>
  <c r="F522" i="1"/>
  <c r="F521" i="1"/>
  <c r="I528" i="1" l="1"/>
  <c r="I527" i="1"/>
  <c r="I526" i="1"/>
  <c r="H528" i="1"/>
  <c r="H527" i="1"/>
  <c r="H526" i="1"/>
  <c r="G528" i="1"/>
  <c r="G527" i="1"/>
  <c r="G526" i="1"/>
  <c r="F528" i="1"/>
  <c r="F527" i="1"/>
  <c r="F526" i="1"/>
  <c r="F120" i="1" l="1"/>
  <c r="C39" i="12" l="1"/>
  <c r="B39" i="12"/>
  <c r="C37" i="12"/>
  <c r="C19" i="12"/>
  <c r="C21" i="12"/>
  <c r="C20" i="12"/>
  <c r="F15" i="13" l="1"/>
  <c r="D11" i="13"/>
  <c r="D9" i="13"/>
  <c r="J604" i="1" l="1"/>
  <c r="I604" i="1"/>
  <c r="H604" i="1"/>
  <c r="J225" i="1"/>
  <c r="J207" i="1"/>
  <c r="I207" i="1"/>
  <c r="H207" i="1"/>
  <c r="G207" i="1"/>
  <c r="F207" i="1"/>
  <c r="J243" i="1"/>
  <c r="I243" i="1"/>
  <c r="H243" i="1"/>
  <c r="G243" i="1"/>
  <c r="F243" i="1"/>
  <c r="I225" i="1"/>
  <c r="H225" i="1"/>
  <c r="G225" i="1"/>
  <c r="F225" i="1"/>
  <c r="G22" i="1" l="1"/>
  <c r="G392" i="1" l="1"/>
  <c r="H368" i="1" l="1"/>
  <c r="G368" i="1"/>
  <c r="F368" i="1"/>
  <c r="I320" i="1" l="1"/>
  <c r="H320" i="1"/>
  <c r="G320" i="1"/>
  <c r="F320" i="1"/>
  <c r="G319" i="1"/>
  <c r="F319" i="1"/>
  <c r="I301" i="1"/>
  <c r="H301" i="1"/>
  <c r="G301" i="1"/>
  <c r="F301" i="1"/>
  <c r="G300" i="1"/>
  <c r="F300" i="1"/>
  <c r="H336" i="1"/>
  <c r="I282" i="1"/>
  <c r="H282" i="1"/>
  <c r="G282" i="1"/>
  <c r="F282" i="1"/>
  <c r="G281" i="1"/>
  <c r="F281" i="1"/>
  <c r="G97" i="1" l="1"/>
  <c r="K360" i="1"/>
  <c r="I360" i="1"/>
  <c r="H360" i="1"/>
  <c r="G360" i="1"/>
  <c r="F360" i="1"/>
  <c r="K359" i="1"/>
  <c r="I359" i="1"/>
  <c r="H359" i="1"/>
  <c r="G359" i="1"/>
  <c r="F359" i="1"/>
  <c r="K358" i="1"/>
  <c r="I358" i="1"/>
  <c r="H358" i="1"/>
  <c r="G358" i="1"/>
  <c r="F358" i="1"/>
  <c r="F50" i="1" l="1"/>
  <c r="G250" i="1" l="1"/>
  <c r="F250" i="1"/>
  <c r="F110" i="1" l="1"/>
  <c r="F63" i="1"/>
  <c r="F57" i="1"/>
  <c r="J468" i="1"/>
  <c r="J379" i="1" l="1"/>
  <c r="J380" i="1"/>
  <c r="F29" i="1"/>
  <c r="F22" i="1"/>
  <c r="F14"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L204" i="1"/>
  <c r="L222" i="1"/>
  <c r="D39" i="13"/>
  <c r="G13" i="13"/>
  <c r="L206" i="1"/>
  <c r="L224" i="1"/>
  <c r="L209" i="1"/>
  <c r="L227" i="1"/>
  <c r="G5" i="13"/>
  <c r="H5" i="13"/>
  <c r="L197" i="1"/>
  <c r="L198" i="1"/>
  <c r="L199" i="1"/>
  <c r="L200" i="1"/>
  <c r="L215" i="1"/>
  <c r="L216" i="1"/>
  <c r="L217" i="1"/>
  <c r="L218" i="1"/>
  <c r="L233" i="1"/>
  <c r="L234" i="1"/>
  <c r="L235" i="1"/>
  <c r="L236" i="1"/>
  <c r="H6" i="13"/>
  <c r="L202" i="1"/>
  <c r="L220" i="1"/>
  <c r="L203" i="1"/>
  <c r="L221" i="1"/>
  <c r="G12" i="13"/>
  <c r="H12" i="13"/>
  <c r="L205" i="1"/>
  <c r="L223" i="1"/>
  <c r="L241" i="1"/>
  <c r="H14" i="13"/>
  <c r="L207" i="1"/>
  <c r="L225" i="1"/>
  <c r="G15" i="13"/>
  <c r="H15" i="13"/>
  <c r="L208" i="1"/>
  <c r="L226" i="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L282" i="1"/>
  <c r="L283" i="1"/>
  <c r="L284" i="1"/>
  <c r="E121" i="2" s="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C131" i="2" s="1"/>
  <c r="L261" i="1"/>
  <c r="C132" i="2" s="1"/>
  <c r="L341" i="1"/>
  <c r="L342" i="1"/>
  <c r="L255" i="1"/>
  <c r="G22" i="13" s="1"/>
  <c r="C22" i="13"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C58" i="2" s="1"/>
  <c r="F111" i="1"/>
  <c r="G111" i="1"/>
  <c r="G112" i="1" s="1"/>
  <c r="H79" i="1"/>
  <c r="H94" i="1"/>
  <c r="H111" i="1"/>
  <c r="I111" i="1"/>
  <c r="I112" i="1" s="1"/>
  <c r="J111" i="1"/>
  <c r="J112" i="1" s="1"/>
  <c r="F121" i="1"/>
  <c r="F136" i="1"/>
  <c r="G121" i="1"/>
  <c r="G136" i="1"/>
  <c r="H121" i="1"/>
  <c r="H136" i="1"/>
  <c r="I121" i="1"/>
  <c r="I136" i="1"/>
  <c r="J121" i="1"/>
  <c r="J140" i="1" s="1"/>
  <c r="J136" i="1"/>
  <c r="F147" i="1"/>
  <c r="C85" i="2" s="1"/>
  <c r="F162" i="1"/>
  <c r="G147" i="1"/>
  <c r="D85" i="2" s="1"/>
  <c r="G162" i="1"/>
  <c r="H147" i="1"/>
  <c r="H162" i="1"/>
  <c r="I147" i="1"/>
  <c r="I169" i="1" s="1"/>
  <c r="I162" i="1"/>
  <c r="L250" i="1"/>
  <c r="C113" i="2" s="1"/>
  <c r="L332" i="1"/>
  <c r="L254" i="1"/>
  <c r="L268" i="1"/>
  <c r="C142" i="2" s="1"/>
  <c r="L269" i="1"/>
  <c r="C143" i="2" s="1"/>
  <c r="L349" i="1"/>
  <c r="L350" i="1"/>
  <c r="I665" i="1"/>
  <c r="I670" i="1"/>
  <c r="I669" i="1"/>
  <c r="C42" i="10"/>
  <c r="L374" i="1"/>
  <c r="L375" i="1"/>
  <c r="L376" i="1"/>
  <c r="L377" i="1"/>
  <c r="L378" i="1"/>
  <c r="L379" i="1"/>
  <c r="L380" i="1"/>
  <c r="B2" i="10"/>
  <c r="L344" i="1"/>
  <c r="E134" i="2" s="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J552" i="1" s="1"/>
  <c r="L542" i="1"/>
  <c r="J550" i="1" s="1"/>
  <c r="L543" i="1"/>
  <c r="J551" i="1" s="1"/>
  <c r="E132"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D18" i="2" s="1"/>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D50" i="2" s="1"/>
  <c r="E35" i="2"/>
  <c r="F35" i="2"/>
  <c r="I454" i="1"/>
  <c r="J49" i="1" s="1"/>
  <c r="G48" i="2" s="1"/>
  <c r="I456" i="1"/>
  <c r="J43" i="1" s="1"/>
  <c r="I457" i="1"/>
  <c r="J37" i="1" s="1"/>
  <c r="G36" i="2" s="1"/>
  <c r="I459" i="1"/>
  <c r="J48" i="1" s="1"/>
  <c r="G47" i="2" s="1"/>
  <c r="C49" i="2"/>
  <c r="C56" i="2"/>
  <c r="D56" i="2"/>
  <c r="E56" i="2"/>
  <c r="E57"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C79" i="2"/>
  <c r="D79" i="2"/>
  <c r="E79" i="2"/>
  <c r="C80" i="2"/>
  <c r="E80"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3" i="2"/>
  <c r="D115" i="2"/>
  <c r="F115" i="2"/>
  <c r="G115" i="2"/>
  <c r="E120" i="2"/>
  <c r="E124" i="2"/>
  <c r="E125" i="2"/>
  <c r="F128" i="2"/>
  <c r="G128" i="2"/>
  <c r="D134" i="2"/>
  <c r="D144" i="2" s="1"/>
  <c r="F134" i="2"/>
  <c r="K419" i="1"/>
  <c r="K427" i="1"/>
  <c r="K433" i="1"/>
  <c r="L263" i="1"/>
  <c r="C135" i="2" s="1"/>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I52" i="1" s="1"/>
  <c r="H620" i="1" s="1"/>
  <c r="F177" i="1"/>
  <c r="F192" i="1" s="1"/>
  <c r="I177" i="1"/>
  <c r="F183" i="1"/>
  <c r="G183" i="1"/>
  <c r="H183" i="1"/>
  <c r="I183" i="1"/>
  <c r="J183" i="1"/>
  <c r="J192" i="1" s="1"/>
  <c r="F188" i="1"/>
  <c r="G188" i="1"/>
  <c r="H188" i="1"/>
  <c r="I188" i="1"/>
  <c r="F211" i="1"/>
  <c r="G211" i="1"/>
  <c r="H211" i="1"/>
  <c r="I211" i="1"/>
  <c r="J211" i="1"/>
  <c r="K211" i="1"/>
  <c r="F229" i="1"/>
  <c r="G229" i="1"/>
  <c r="H229" i="1"/>
  <c r="I229" i="1"/>
  <c r="J229" i="1"/>
  <c r="K229"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I408" i="1" s="1"/>
  <c r="F401" i="1"/>
  <c r="G401" i="1"/>
  <c r="H401" i="1"/>
  <c r="I401" i="1"/>
  <c r="F407" i="1"/>
  <c r="G407" i="1"/>
  <c r="H407" i="1"/>
  <c r="I407" i="1"/>
  <c r="G408" i="1"/>
  <c r="H645" i="1" s="1"/>
  <c r="L413" i="1"/>
  <c r="L414" i="1"/>
  <c r="L415" i="1"/>
  <c r="L416" i="1"/>
  <c r="L417" i="1"/>
  <c r="L418" i="1"/>
  <c r="F419" i="1"/>
  <c r="G419" i="1"/>
  <c r="H419" i="1"/>
  <c r="I419" i="1"/>
  <c r="J419" i="1"/>
  <c r="L421" i="1"/>
  <c r="L422" i="1"/>
  <c r="L423" i="1"/>
  <c r="L424" i="1"/>
  <c r="L427" i="1" s="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F460" i="1"/>
  <c r="G460" i="1"/>
  <c r="G461" i="1" s="1"/>
  <c r="H640" i="1" s="1"/>
  <c r="H460" i="1"/>
  <c r="J470" i="1"/>
  <c r="J474" i="1"/>
  <c r="J476" i="1" s="1"/>
  <c r="H626" i="1" s="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J571" i="1" s="1"/>
  <c r="K560" i="1"/>
  <c r="L562" i="1"/>
  <c r="L563" i="1"/>
  <c r="L564" i="1"/>
  <c r="F565" i="1"/>
  <c r="G565" i="1"/>
  <c r="H565" i="1"/>
  <c r="I565" i="1"/>
  <c r="J565" i="1"/>
  <c r="K565" i="1"/>
  <c r="L567" i="1"/>
  <c r="L568" i="1"/>
  <c r="L570" i="1" s="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G625" i="1"/>
  <c r="H631" i="1"/>
  <c r="H637" i="1"/>
  <c r="H638" i="1"/>
  <c r="G641" i="1"/>
  <c r="G643" i="1"/>
  <c r="G644" i="1"/>
  <c r="G652" i="1"/>
  <c r="H652" i="1"/>
  <c r="G653" i="1"/>
  <c r="H653" i="1"/>
  <c r="G654" i="1"/>
  <c r="H654" i="1"/>
  <c r="H655" i="1"/>
  <c r="J655" i="1" s="1"/>
  <c r="G161" i="2"/>
  <c r="G62" i="2"/>
  <c r="K571" i="1"/>
  <c r="D81" i="2"/>
  <c r="G22" i="2"/>
  <c r="F18" i="2" l="1"/>
  <c r="F461" i="1"/>
  <c r="H639" i="1" s="1"/>
  <c r="C130" i="2"/>
  <c r="C91" i="2"/>
  <c r="I552" i="1"/>
  <c r="H140" i="1"/>
  <c r="H112" i="1"/>
  <c r="G662" i="1"/>
  <c r="F408" i="1"/>
  <c r="H643" i="1" s="1"/>
  <c r="J643" i="1" s="1"/>
  <c r="H571" i="1"/>
  <c r="J641" i="1"/>
  <c r="J640" i="1"/>
  <c r="L419" i="1"/>
  <c r="H408" i="1"/>
  <c r="H644" i="1" s="1"/>
  <c r="G157" i="2"/>
  <c r="E78" i="2"/>
  <c r="E81" i="2" s="1"/>
  <c r="L270" i="1"/>
  <c r="L351" i="1"/>
  <c r="E123" i="2"/>
  <c r="F571" i="1"/>
  <c r="J639" i="1"/>
  <c r="L433" i="1"/>
  <c r="H192" i="1"/>
  <c r="G164" i="2"/>
  <c r="G156" i="2"/>
  <c r="F169" i="1"/>
  <c r="C35" i="10"/>
  <c r="E114" i="2"/>
  <c r="E122" i="2"/>
  <c r="D18" i="13"/>
  <c r="C18" i="13" s="1"/>
  <c r="I571" i="1"/>
  <c r="L565" i="1"/>
  <c r="L571" i="1" s="1"/>
  <c r="H552" i="1"/>
  <c r="J545" i="1"/>
  <c r="G545" i="1"/>
  <c r="G552" i="1"/>
  <c r="L544" i="1"/>
  <c r="K545" i="1"/>
  <c r="I545" i="1"/>
  <c r="K551" i="1"/>
  <c r="H545" i="1"/>
  <c r="K550" i="1"/>
  <c r="K549" i="1"/>
  <c r="F552" i="1"/>
  <c r="A40" i="12"/>
  <c r="G192" i="1"/>
  <c r="K605" i="1"/>
  <c r="G648" i="1" s="1"/>
  <c r="K598" i="1"/>
  <c r="G647" i="1" s="1"/>
  <c r="L401" i="1"/>
  <c r="C139" i="2" s="1"/>
  <c r="J644" i="1"/>
  <c r="L393" i="1"/>
  <c r="C138" i="2" s="1"/>
  <c r="J634" i="1"/>
  <c r="E112" i="2"/>
  <c r="L328" i="1"/>
  <c r="E37" i="14" s="1"/>
  <c r="E118" i="2"/>
  <c r="G338" i="1"/>
  <c r="G352" i="1" s="1"/>
  <c r="L309" i="1"/>
  <c r="E25" i="14" s="1"/>
  <c r="E110" i="2"/>
  <c r="H338" i="1"/>
  <c r="H352" i="1" s="1"/>
  <c r="E109" i="2"/>
  <c r="E119" i="2"/>
  <c r="D62" i="2"/>
  <c r="D63" i="2" s="1"/>
  <c r="D91" i="2"/>
  <c r="D127" i="2"/>
  <c r="D128" i="2" s="1"/>
  <c r="D145" i="2" s="1"/>
  <c r="F661" i="1"/>
  <c r="G661" i="1"/>
  <c r="L362" i="1"/>
  <c r="G472" i="1" s="1"/>
  <c r="H661" i="1"/>
  <c r="C29" i="10"/>
  <c r="C12" i="10"/>
  <c r="C110" i="2"/>
  <c r="F338" i="1"/>
  <c r="F352" i="1" s="1"/>
  <c r="L290" i="1"/>
  <c r="E5" i="14" s="1"/>
  <c r="F5" i="14" s="1"/>
  <c r="F4" i="14" s="1"/>
  <c r="E62" i="2"/>
  <c r="E63" i="2" s="1"/>
  <c r="H169" i="1"/>
  <c r="H193" i="1" s="1"/>
  <c r="H52" i="1"/>
  <c r="H619" i="1" s="1"/>
  <c r="E31" i="2"/>
  <c r="C18" i="10"/>
  <c r="L256" i="1"/>
  <c r="C13" i="10"/>
  <c r="A31" i="12"/>
  <c r="C121" i="2"/>
  <c r="C78" i="2"/>
  <c r="C70" i="2"/>
  <c r="C81" i="2" s="1"/>
  <c r="F112" i="1"/>
  <c r="C36" i="10" s="1"/>
  <c r="F130" i="2"/>
  <c r="F144" i="2" s="1"/>
  <c r="F145" i="2" s="1"/>
  <c r="D31" i="2"/>
  <c r="C18" i="2"/>
  <c r="J617" i="1"/>
  <c r="C112" i="2"/>
  <c r="I25" i="13"/>
  <c r="I452" i="1"/>
  <c r="I461" i="1" s="1"/>
  <c r="H642" i="1" s="1"/>
  <c r="J642" i="1" s="1"/>
  <c r="C25" i="10"/>
  <c r="G650" i="1"/>
  <c r="J650" i="1" s="1"/>
  <c r="K338" i="1"/>
  <c r="K352" i="1" s="1"/>
  <c r="C111" i="2"/>
  <c r="E131" i="2"/>
  <c r="L211" i="1"/>
  <c r="D29" i="13"/>
  <c r="C29" i="13" s="1"/>
  <c r="D12" i="13"/>
  <c r="C12" i="13" s="1"/>
  <c r="C26" i="10"/>
  <c r="G649" i="1"/>
  <c r="J649" i="1" s="1"/>
  <c r="L524" i="1"/>
  <c r="J338" i="1"/>
  <c r="J352" i="1" s="1"/>
  <c r="F85" i="2"/>
  <c r="D17" i="13"/>
  <c r="C17" i="13" s="1"/>
  <c r="C32" i="10"/>
  <c r="L529" i="1"/>
  <c r="C114" i="2"/>
  <c r="E85" i="2"/>
  <c r="C62" i="2"/>
  <c r="C63" i="2" s="1"/>
  <c r="L534" i="1"/>
  <c r="I460" i="1"/>
  <c r="I446" i="1"/>
  <c r="G642" i="1" s="1"/>
  <c r="F662" i="1"/>
  <c r="C11" i="10"/>
  <c r="D19" i="13"/>
  <c r="C19" i="13" s="1"/>
  <c r="L614" i="1"/>
  <c r="K500" i="1"/>
  <c r="G81" i="2"/>
  <c r="G645" i="1"/>
  <c r="J645" i="1" s="1"/>
  <c r="L539" i="1"/>
  <c r="K503" i="1"/>
  <c r="L382" i="1"/>
  <c r="A13" i="12"/>
  <c r="D5" i="13"/>
  <c r="C5" i="13" s="1"/>
  <c r="C10" i="10"/>
  <c r="C109" i="2"/>
  <c r="L229" i="1"/>
  <c r="D25" i="14" s="1"/>
  <c r="F25" i="14" s="1"/>
  <c r="F24" i="14" s="1"/>
  <c r="L337" i="1"/>
  <c r="F62" i="2"/>
  <c r="F63" i="2" s="1"/>
  <c r="C23" i="10"/>
  <c r="G163" i="2"/>
  <c r="G162" i="2"/>
  <c r="G160" i="2"/>
  <c r="G159" i="2"/>
  <c r="G158" i="2"/>
  <c r="G103" i="2"/>
  <c r="F103" i="2"/>
  <c r="C103" i="2"/>
  <c r="F91" i="2"/>
  <c r="E50" i="2"/>
  <c r="E51" i="2" s="1"/>
  <c r="C50" i="2"/>
  <c r="F31" i="2"/>
  <c r="C31" i="2"/>
  <c r="E18" i="2"/>
  <c r="E144" i="2"/>
  <c r="F50" i="2"/>
  <c r="F51" i="2" s="1"/>
  <c r="C24" i="10"/>
  <c r="H31" i="13"/>
  <c r="I338" i="1"/>
  <c r="I352" i="1" s="1"/>
  <c r="L407" i="1"/>
  <c r="C140" i="2" s="1"/>
  <c r="I192" i="1"/>
  <c r="E91" i="2"/>
  <c r="D51" i="2"/>
  <c r="J654" i="1"/>
  <c r="J653" i="1"/>
  <c r="G21" i="2"/>
  <c r="G31" i="2" s="1"/>
  <c r="J32" i="1"/>
  <c r="L434" i="1"/>
  <c r="G638" i="1" s="1"/>
  <c r="J638" i="1" s="1"/>
  <c r="J434" i="1"/>
  <c r="F434" i="1"/>
  <c r="K434" i="1"/>
  <c r="G134" i="2" s="1"/>
  <c r="G144" i="2" s="1"/>
  <c r="G145" i="2" s="1"/>
  <c r="G31" i="13"/>
  <c r="J193" i="1"/>
  <c r="G646" i="1" s="1"/>
  <c r="G169" i="1"/>
  <c r="G140" i="1"/>
  <c r="F140" i="1"/>
  <c r="G63" i="2"/>
  <c r="J618" i="1"/>
  <c r="G42" i="2"/>
  <c r="G50" i="2" s="1"/>
  <c r="G51" i="2" s="1"/>
  <c r="J51" i="1"/>
  <c r="G16" i="2"/>
  <c r="J19" i="1"/>
  <c r="G621" i="1" s="1"/>
  <c r="G18" i="2"/>
  <c r="F545" i="1"/>
  <c r="H434" i="1"/>
  <c r="J620" i="1"/>
  <c r="J619" i="1"/>
  <c r="D103" i="2"/>
  <c r="I140" i="1"/>
  <c r="A22" i="12"/>
  <c r="J652" i="1"/>
  <c r="G571" i="1"/>
  <c r="I434" i="1"/>
  <c r="G434" i="1"/>
  <c r="I663" i="1"/>
  <c r="E104" i="2" l="1"/>
  <c r="K552" i="1"/>
  <c r="G629" i="1"/>
  <c r="H468" i="1"/>
  <c r="C141" i="2"/>
  <c r="C144" i="2" s="1"/>
  <c r="E128" i="2"/>
  <c r="L338" i="1"/>
  <c r="L352" i="1" s="1"/>
  <c r="H472" i="1" s="1"/>
  <c r="G24" i="14"/>
  <c r="H24" i="14" s="1"/>
  <c r="I24" i="14" s="1"/>
  <c r="E115" i="2"/>
  <c r="D104" i="2"/>
  <c r="G635" i="1"/>
  <c r="I661" i="1"/>
  <c r="C27" i="10"/>
  <c r="H635" i="1"/>
  <c r="G474" i="1"/>
  <c r="G4" i="14"/>
  <c r="H4" i="14" s="1"/>
  <c r="I4" i="14" s="1"/>
  <c r="C39" i="10"/>
  <c r="C104" i="2"/>
  <c r="F193" i="1"/>
  <c r="G104" i="2"/>
  <c r="G636" i="1"/>
  <c r="I472" i="1"/>
  <c r="F660" i="1"/>
  <c r="F664" i="1" s="1"/>
  <c r="F667" i="1" s="1"/>
  <c r="F104" i="2"/>
  <c r="L545" i="1"/>
  <c r="C25" i="13"/>
  <c r="I33" i="13"/>
  <c r="D31" i="13"/>
  <c r="C31" i="13" s="1"/>
  <c r="C115" i="2"/>
  <c r="I193" i="1"/>
  <c r="L408" i="1"/>
  <c r="G660" i="1"/>
  <c r="G664" i="1" s="1"/>
  <c r="G667" i="1" s="1"/>
  <c r="C51" i="2"/>
  <c r="G631" i="1"/>
  <c r="J631" i="1" s="1"/>
  <c r="G193" i="1"/>
  <c r="G626" i="1"/>
  <c r="J626" i="1" s="1"/>
  <c r="J52" i="1"/>
  <c r="H621" i="1" s="1"/>
  <c r="J621" i="1" s="1"/>
  <c r="C38" i="10"/>
  <c r="H629" i="1" l="1"/>
  <c r="J629" i="1" s="1"/>
  <c r="H470" i="1"/>
  <c r="G630" i="1"/>
  <c r="I468" i="1"/>
  <c r="G627" i="1"/>
  <c r="F468" i="1"/>
  <c r="G633" i="1"/>
  <c r="E145" i="2"/>
  <c r="H474" i="1"/>
  <c r="H633" i="1"/>
  <c r="G628" i="1"/>
  <c r="G468" i="1"/>
  <c r="J635" i="1"/>
  <c r="G672" i="1"/>
  <c r="C5" i="10" s="1"/>
  <c r="F672" i="1"/>
  <c r="C4" i="10" s="1"/>
  <c r="I474" i="1"/>
  <c r="H636" i="1"/>
  <c r="J636" i="1"/>
  <c r="G637" i="1"/>
  <c r="J637" i="1" s="1"/>
  <c r="H646" i="1"/>
  <c r="J646" i="1" s="1"/>
  <c r="C41" i="10"/>
  <c r="D38" i="10" s="1"/>
  <c r="H476" i="1" l="1"/>
  <c r="H624" i="1" s="1"/>
  <c r="J624" i="1" s="1"/>
  <c r="I470" i="1"/>
  <c r="I476" i="1" s="1"/>
  <c r="H625" i="1" s="1"/>
  <c r="J625" i="1" s="1"/>
  <c r="H630" i="1"/>
  <c r="J630" i="1" s="1"/>
  <c r="H627" i="1"/>
  <c r="J627" i="1" s="1"/>
  <c r="F470" i="1"/>
  <c r="J633" i="1"/>
  <c r="G470" i="1"/>
  <c r="G476" i="1" s="1"/>
  <c r="H623" i="1" s="1"/>
  <c r="J623" i="1" s="1"/>
  <c r="H628" i="1"/>
  <c r="J628" i="1" s="1"/>
  <c r="D37" i="10"/>
  <c r="D36" i="10"/>
  <c r="D35" i="10"/>
  <c r="D40" i="10"/>
  <c r="D39" i="10"/>
  <c r="D41" i="10" l="1"/>
  <c r="G16" i="13" l="1"/>
  <c r="G14" i="13"/>
  <c r="G7" i="13"/>
  <c r="H7" i="13" l="1"/>
  <c r="H16" i="13"/>
  <c r="H13" i="13"/>
  <c r="L244" i="1"/>
  <c r="H8" i="13" l="1"/>
  <c r="K247" i="1"/>
  <c r="K257" i="1" s="1"/>
  <c r="K271" i="1" s="1"/>
  <c r="G6" i="13"/>
  <c r="G33" i="13" s="1"/>
  <c r="J247" i="1"/>
  <c r="J257" i="1" s="1"/>
  <c r="L245" i="1"/>
  <c r="H33" i="13"/>
  <c r="L243" i="1"/>
  <c r="L238" i="1"/>
  <c r="I247" i="1"/>
  <c r="I257" i="1" s="1"/>
  <c r="I271" i="1" s="1"/>
  <c r="G651" i="1"/>
  <c r="J651" i="1" s="1"/>
  <c r="C21" i="10"/>
  <c r="H647" i="1"/>
  <c r="J647" i="1" s="1"/>
  <c r="D15" i="13"/>
  <c r="C15" i="13" s="1"/>
  <c r="H662" i="1"/>
  <c r="I662" i="1" s="1"/>
  <c r="C124" i="2"/>
  <c r="L239" i="1"/>
  <c r="F247" i="1"/>
  <c r="F257" i="1" s="1"/>
  <c r="F271" i="1" s="1"/>
  <c r="G247" i="1"/>
  <c r="G257" i="1" s="1"/>
  <c r="G271" i="1" s="1"/>
  <c r="H247" i="1"/>
  <c r="H257" i="1" s="1"/>
  <c r="H271" i="1" s="1"/>
  <c r="L242" i="1" l="1"/>
  <c r="C122" i="2" s="1"/>
  <c r="C118" i="2"/>
  <c r="C15" i="10"/>
  <c r="D6" i="13"/>
  <c r="C123" i="2"/>
  <c r="D14" i="13"/>
  <c r="C14" i="13" s="1"/>
  <c r="C20" i="10"/>
  <c r="J271" i="1"/>
  <c r="H648" i="1"/>
  <c r="J648" i="1" s="1"/>
  <c r="E16" i="13"/>
  <c r="C16" i="13" s="1"/>
  <c r="C125" i="2"/>
  <c r="C119" i="2"/>
  <c r="D7" i="13"/>
  <c r="C7" i="13" s="1"/>
  <c r="C16" i="10"/>
  <c r="L240" i="1"/>
  <c r="L247" i="1" s="1"/>
  <c r="D37" i="14" s="1"/>
  <c r="F37" i="14" s="1"/>
  <c r="F36" i="14" s="1"/>
  <c r="C19" i="10" l="1"/>
  <c r="E13" i="13"/>
  <c r="C13" i="13" s="1"/>
  <c r="H660" i="1"/>
  <c r="G36" i="14"/>
  <c r="H36" i="14" s="1"/>
  <c r="I36" i="14" s="1"/>
  <c r="L257" i="1"/>
  <c r="L271" i="1" s="1"/>
  <c r="F472" i="1" s="1"/>
  <c r="C120" i="2"/>
  <c r="C128" i="2" s="1"/>
  <c r="C145" i="2" s="1"/>
  <c r="E8" i="13"/>
  <c r="C17" i="10"/>
  <c r="C6" i="13"/>
  <c r="D33" i="13"/>
  <c r="D36" i="13" s="1"/>
  <c r="C8" i="13" l="1"/>
  <c r="E33" i="13"/>
  <c r="D35" i="13" s="1"/>
  <c r="C28" i="10"/>
  <c r="G632" i="1"/>
  <c r="H664" i="1"/>
  <c r="I660" i="1"/>
  <c r="I664" i="1" s="1"/>
  <c r="I672" i="1" l="1"/>
  <c r="C7" i="10" s="1"/>
  <c r="I667" i="1"/>
  <c r="F474" i="1"/>
  <c r="F476" i="1" s="1"/>
  <c r="H622" i="1" s="1"/>
  <c r="J622" i="1" s="1"/>
  <c r="H632" i="1"/>
  <c r="J632" i="1" s="1"/>
  <c r="D23" i="10"/>
  <c r="C30" i="10"/>
  <c r="D18" i="10"/>
  <c r="D27" i="10"/>
  <c r="D10" i="10"/>
  <c r="D24" i="10"/>
  <c r="D11" i="10"/>
  <c r="D22" i="10"/>
  <c r="D12" i="10"/>
  <c r="D13" i="10"/>
  <c r="D25" i="10"/>
  <c r="D26" i="10"/>
  <c r="D21" i="10"/>
  <c r="D20" i="10"/>
  <c r="D19" i="10"/>
  <c r="D15" i="10"/>
  <c r="D16" i="10"/>
  <c r="H667" i="1"/>
  <c r="H672" i="1"/>
  <c r="C6" i="10" s="1"/>
  <c r="D17" i="10"/>
  <c r="H656" i="1" l="1"/>
  <c r="D28"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<sst xmlns="http://schemas.openxmlformats.org/spreadsheetml/2006/main" count="5505" uniqueCount="1610">
  <si>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</si>
  <si>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</si>
  <si>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</si>
  <si>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</si>
  <si>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</si>
  <si>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</si>
  <si>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</si>
  <si>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</si>
  <si>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</si>
  <si>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</si>
  <si>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</si>
  <si>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</si>
  <si>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</si>
  <si>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</si>
  <si>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</si>
  <si>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</si>
  <si>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</si>
  <si>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</si>
  <si>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</si>
  <si>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</si>
  <si>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</si>
  <si>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</si>
  <si>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</si>
  <si>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</si>
  <si>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</si>
  <si>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</si>
  <si>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</si>
  <si>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</si>
  <si>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</si>
  <si>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</si>
  <si>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</si>
  <si>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</si>
  <si>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</si>
  <si>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</si>
  <si>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</si>
  <si>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</si>
  <si>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</si>
  <si>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</si>
  <si>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</si>
  <si>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</si>
  <si>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</si>
  <si>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</si>
  <si>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</si>
  <si>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</si>
  <si>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</si>
  <si>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</si>
  <si>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</si>
  <si>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</si>
  <si>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</si>
  <si>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</si>
  <si>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</si>
  <si>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</si>
  <si>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</si>
  <si>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</si>
  <si>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</si>
  <si>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</si>
  <si>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</si>
  <si>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</si>
  <si>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</si>
  <si>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</si>
  <si>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</si>
  <si>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</si>
  <si>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</si>
  <si>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</si>
  <si>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</si>
  <si>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</si>
  <si>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</si>
  <si>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</si>
  <si>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</si>
  <si>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</si>
  <si>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</si>
  <si>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</si>
  <si>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</si>
  <si>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</si>
  <si>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</si>
  <si>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</si>
  <si>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</si>
  <si>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</si>
  <si>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</si>
  <si>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</si>
  <si>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</si>
  <si>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</si>
  <si>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</si>
  <si>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</si>
  <si>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</si>
  <si>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</si>
  <si>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</si>
  <si>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</si>
  <si>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</si>
  <si>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</si>
  <si>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</si>
  <si>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</si>
  <si>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</si>
  <si>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</si>
  <si>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</si>
  <si>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</si>
  <si>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</si>
  <si>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</si>
  <si>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</si>
  <si>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</si>
  <si>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</si>
  <si>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</si>
  <si>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</si>
  <si>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</si>
  <si>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</si>
  <si>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</si>
  <si>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</si>
  <si>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</si>
  <si>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</si>
  <si>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</si>
  <si>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</si>
  <si>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</si>
  <si>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</si>
  <si>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</si>
  <si>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</si>
  <si>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</si>
  <si>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</si>
  <si>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</si>
  <si>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</si>
  <si>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</si>
  <si>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</si>
  <si>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</si>
  <si>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</si>
  <si>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</si>
  <si>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</si>
  <si>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</si>
  <si>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</si>
  <si>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</si>
  <si>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</si>
  <si>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</si>
  <si>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</si>
  <si>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</si>
  <si>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</si>
  <si>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</si>
  <si>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</si>
  <si>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</si>
  <si>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</si>
  <si>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</si>
  <si>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</si>
  <si>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</si>
  <si>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</si>
  <si>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</si>
  <si>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</si>
  <si>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</si>
  <si>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</si>
  <si>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</si>
  <si>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</si>
  <si>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</si>
  <si>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</si>
  <si>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</si>
  <si>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</si>
  <si>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</si>
  <si>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</si>
  <si>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</si>
  <si>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</si>
  <si>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</si>
  <si>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</si>
  <si>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</si>
  <si>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</si>
  <si>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</si>
  <si>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</si>
  <si>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</si>
  <si>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</si>
  <si>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</si>
  <si>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</si>
  <si>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</si>
  <si>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</si>
  <si>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</si>
  <si>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</si>
  <si>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</si>
  <si>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</si>
  <si>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</si>
  <si>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</si>
  <si>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</si>
  <si>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</si>
  <si>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</si>
  <si>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</si>
  <si>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</si>
  <si>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</si>
  <si>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</si>
  <si>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</si>
  <si>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</si>
  <si>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</si>
  <si>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</si>
  <si>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</si>
  <si>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</si>
  <si>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</si>
  <si>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</si>
  <si>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</si>
  <si>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</si>
  <si>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</si>
  <si>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</si>
  <si>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</si>
  <si>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</si>
  <si>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</si>
  <si>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</si>
  <si>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</si>
  <si>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</si>
  <si>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</si>
  <si>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</si>
  <si>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</si>
  <si>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</si>
  <si>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</si>
  <si>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</si>
  <si>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</si>
  <si>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</si>
  <si>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</si>
  <si>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</si>
  <si>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</si>
  <si>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</si>
  <si>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</si>
  <si>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</si>
  <si>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</si>
  <si>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</si>
  <si>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</si>
  <si>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</si>
  <si>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</si>
  <si>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</si>
  <si>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</si>
  <si>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</si>
  <si>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</si>
  <si>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</si>
  <si>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</si>
  <si>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</si>
  <si>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</si>
  <si>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</si>
  <si>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</si>
  <si>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</si>
  <si>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</si>
  <si>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</si>
  <si>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</si>
  <si>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</si>
  <si>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</si>
  <si>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</si>
  <si>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</si>
  <si>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</si>
  <si>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</si>
  <si>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</si>
  <si>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</si>
  <si>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</si>
  <si>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</si>
  <si>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</si>
  <si>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</si>
  <si>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</si>
  <si>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</si>
  <si>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</si>
  <si>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</si>
  <si>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</si>
  <si>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</si>
  <si>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</si>
  <si>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</si>
  <si>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</si>
  <si>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</si>
  <si>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</si>
  <si>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</si>
  <si>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</si>
  <si>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</si>
  <si>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</si>
  <si>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</si>
  <si>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</si>
  <si>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</si>
  <si>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</si>
  <si>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</si>
  <si>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</si>
  <si>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</si>
  <si>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</si>
  <si>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</si>
  <si>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</si>
  <si>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</si>
  <si>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</si>
  <si>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</si>
  <si>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</si>
  <si>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</si>
  <si>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</si>
  <si>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</si>
  <si>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</si>
  <si>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</si>
  <si>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</si>
  <si>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</si>
  <si>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</si>
  <si>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</si>
  <si>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</si>
  <si>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</si>
  <si>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</si>
  <si>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</si>
  <si>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</si>
  <si>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</si>
  <si>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</si>
  <si>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</si>
  <si>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</si>
  <si>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</si>
  <si>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</si>
  <si>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</si>
  <si>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</si>
  <si>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</si>
  <si>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</si>
  <si>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</si>
  <si>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</si>
  <si>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</si>
  <si>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</si>
  <si>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</si>
  <si>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</si>
  <si>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</si>
  <si>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</si>
  <si>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</si>
  <si>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</si>
  <si>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</si>
  <si>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</si>
  <si>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</si>
  <si>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</si>
  <si>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</si>
  <si>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</si>
  <si>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</si>
  <si>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</si>
  <si>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</si>
  <si>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</si>
  <si>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</si>
  <si>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</si>
  <si>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</si>
  <si>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</si>
  <si>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</si>
  <si>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</si>
  <si>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</si>
  <si>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</si>
  <si>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</si>
  <si>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</si>
  <si>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</si>
  <si>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</si>
  <si>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</si>
  <si>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</si>
  <si>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</si>
  <si>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</si>
  <si>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</si>
  <si>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</si>
  <si>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</si>
  <si>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</si>
  <si>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</si>
  <si>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</si>
  <si>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</si>
  <si>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</si>
  <si>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</si>
  <si>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</si>
  <si>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</si>
  <si>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</si>
  <si>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</si>
  <si>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</si>
  <si>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</si>
  <si>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</si>
  <si>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</si>
  <si>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</si>
  <si>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</si>
  <si>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</si>
  <si>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</si>
  <si>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</si>
  <si>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</si>
  <si>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</si>
  <si>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</si>
  <si>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</si>
  <si>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</si>
  <si>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</si>
  <si>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</si>
  <si>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</si>
  <si>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</si>
  <si>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</si>
  <si>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</si>
  <si>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</si>
  <si>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</si>
  <si>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</si>
  <si>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</si>
  <si>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</si>
  <si>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</si>
  <si>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</si>
  <si>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</si>
  <si>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</si>
  <si>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</si>
  <si>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</si>
  <si>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</si>
  <si>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</si>
  <si>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</si>
  <si>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</si>
  <si>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</si>
  <si>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</si>
  <si>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</si>
  <si>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</si>
  <si>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</si>
  <si>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</si>
  <si>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</si>
  <si>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</si>
  <si>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</si>
  <si>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</si>
  <si>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</si>
  <si>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</si>
  <si>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</si>
  <si>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</si>
  <si>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</si>
  <si>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</si>
  <si>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</si>
  <si>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</si>
  <si>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</si>
  <si>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</si>
  <si>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</si>
  <si>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</si>
  <si>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</si>
  <si>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</si>
  <si>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</si>
  <si>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</si>
  <si>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</si>
  <si>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</si>
  <si>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</si>
  <si>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</si>
  <si>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</si>
  <si>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</si>
  <si>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</si>
  <si>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</si>
  <si>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</si>
  <si>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</si>
  <si>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</si>
  <si>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</si>
  <si>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</si>
  <si>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</si>
  <si>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</si>
  <si>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</si>
  <si>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</si>
  <si>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</si>
  <si>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</si>
  <si>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</si>
  <si>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</si>
  <si>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</si>
  <si>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</si>
  <si>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</si>
  <si>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</si>
  <si>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</si>
  <si>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</si>
  <si>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</si>
  <si>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</si>
  <si>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</si>
  <si>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</si>
  <si>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</si>
  <si>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</si>
  <si>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</si>
  <si>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</si>
  <si>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</si>
  <si>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</si>
  <si>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</si>
  <si>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</si>
  <si>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</si>
  <si>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</si>
  <si>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</si>
  <si>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</si>
  <si>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</si>
  <si>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</si>
  <si>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</si>
  <si>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</si>
  <si>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</si>
  <si>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</si>
  <si>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</si>
  <si>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</si>
  <si>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</si>
  <si>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</si>
  <si>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</si>
  <si>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</si>
  <si>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</si>
  <si>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</si>
  <si>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</si>
  <si>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</si>
  <si>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</si>
  <si>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</si>
  <si>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</si>
  <si>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</si>
  <si>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</si>
  <si>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</si>
  <si>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</si>
  <si>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</si>
  <si>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</si>
  <si>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</si>
  <si>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</si>
  <si>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</si>
  <si>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</si>
  <si>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</si>
  <si>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</si>
  <si>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</si>
  <si>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</si>
  <si>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</si>
  <si>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</si>
  <si>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</si>
  <si>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</si>
  <si>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</si>
  <si>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</si>
  <si>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</si>
  <si>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</si>
  <si>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</si>
  <si>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</si>
  <si>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</si>
  <si>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</si>
  <si>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</si>
  <si>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</si>
  <si>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</si>
  <si>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</si>
  <si>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</si>
  <si>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</si>
  <si>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</si>
  <si>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</si>
  <si>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</si>
  <si>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</si>
  <si>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</si>
  <si>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</si>
  <si>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</si>
  <si>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</si>
  <si>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</si>
  <si>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</si>
  <si>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</si>
  <si>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</si>
  <si>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</si>
  <si>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</si>
  <si>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</si>
  <si>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</si>
  <si>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</si>
  <si>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</si>
  <si>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</si>
  <si>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</si>
  <si>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</si>
  <si>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</si>
  <si>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</si>
  <si>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</si>
  <si>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</si>
  <si>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</si>
  <si>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</si>
  <si>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</si>
  <si>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</si>
  <si>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</si>
  <si>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</si>
  <si>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</si>
  <si>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</si>
  <si>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</si>
  <si>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</si>
  <si>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</si>
  <si>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</si>
  <si>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</si>
  <si>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</si>
  <si>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</si>
  <si>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</si>
  <si>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</si>
  <si>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</si>
  <si>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</si>
  <si>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</si>
  <si>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</si>
  <si>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</si>
  <si>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</si>
  <si>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</si>
  <si>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</si>
  <si>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</si>
  <si>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</si>
  <si>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</si>
  <si>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</si>
  <si>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</si>
  <si>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</si>
  <si>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</si>
  <si>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</si>
  <si>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</si>
  <si>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</si>
  <si>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</si>
  <si>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</si>
  <si>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</si>
  <si>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</si>
  <si>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</si>
  <si>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</si>
  <si>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</si>
  <si>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</si>
  <si>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</si>
  <si>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</si>
  <si>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</si>
  <si>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</si>
  <si>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</si>
  <si>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</si>
  <si>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</si>
  <si>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</si>
  <si>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</si>
  <si>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</si>
  <si>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</si>
  <si>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</si>
  <si>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</si>
  <si>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</si>
  <si>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</si>
  <si>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</si>
  <si>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</si>
  <si>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</si>
  <si>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</si>
  <si>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</si>
  <si>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</si>
  <si>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</si>
  <si>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</si>
  <si>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</si>
  <si>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</si>
  <si>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</si>
  <si>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</si>
  <si>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</si>
  <si>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</si>
  <si>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</si>
  <si>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</si>
  <si>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</si>
  <si>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</si>
  <si>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</si>
  <si>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</si>
  <si>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</si>
  <si>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</si>
  <si>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</si>
  <si>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</si>
  <si>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</si>
  <si>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</si>
  <si>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</si>
  <si>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</si>
  <si>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</si>
  <si>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</si>
  <si>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</si>
  <si>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</si>
  <si>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</si>
  <si>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</si>
  <si>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</si>
  <si>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</si>
  <si>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</si>
  <si>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</si>
  <si>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</si>
  <si>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</si>
  <si>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</si>
  <si>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</si>
  <si>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</si>
  <si>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</si>
  <si>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</si>
  <si>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</si>
  <si>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</si>
  <si>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</si>
  <si>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</si>
  <si>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</si>
  <si>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</si>
  <si>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</si>
  <si>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</si>
  <si>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</si>
  <si>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</si>
  <si>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</si>
  <si>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</si>
  <si>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</si>
  <si>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</si>
  <si>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</si>
  <si>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</si>
  <si>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</si>
  <si>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</si>
  <si>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</si>
  <si>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</si>
  <si>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</si>
  <si>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</si>
  <si>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</si>
  <si>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</si>
  <si>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</si>
  <si>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</si>
  <si>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</si>
  <si>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</si>
  <si>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</si>
  <si>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</si>
  <si>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</si>
  <si>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</si>
  <si>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</si>
  <si>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</si>
  <si>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</si>
  <si>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</si>
  <si>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</si>
  <si>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</si>
  <si>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</si>
  <si>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</si>
  <si>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</si>
  <si>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</si>
  <si>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</si>
  <si>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</si>
  <si>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</si>
  <si>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</si>
  <si>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</si>
  <si>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</si>
  <si>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</si>
  <si>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</si>
  <si>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</si>
  <si>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</si>
  <si>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</si>
  <si>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</si>
  <si>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</si>
  <si>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</si>
  <si>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</si>
  <si>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</si>
  <si>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</si>
  <si>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</si>
  <si>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</si>
  <si>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</si>
  <si>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</si>
  <si>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</si>
  <si>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</si>
  <si>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</si>
  <si>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</si>
  <si>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</si>
  <si>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</si>
  <si>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</si>
  <si>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</si>
  <si>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</si>
  <si>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</si>
  <si>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</si>
  <si>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</si>
  <si>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</si>
  <si>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</si>
  <si>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</si>
  <si>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</si>
  <si>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</si>
  <si>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</si>
  <si>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</si>
  <si>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</si>
  <si>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</si>
  <si>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</si>
  <si>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</si>
  <si>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</si>
  <si>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</si>
  <si>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</si>
  <si>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</si>
  <si>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</si>
  <si>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</si>
  <si>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</si>
  <si>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</si>
  <si>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</si>
  <si>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</si>
  <si>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</si>
  <si>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</si>
  <si>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</si>
  <si>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</si>
  <si>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</si>
  <si>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</si>
  <si>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</si>
  <si>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</si>
  <si>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</si>
  <si>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</si>
  <si>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</si>
  <si>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</si>
  <si>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</si>
  <si>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</si>
  <si>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</si>
  <si>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</si>
  <si>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</si>
  <si>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</si>
  <si>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</si>
  <si>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</si>
  <si>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</si>
  <si>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</si>
  <si>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</si>
  <si>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</si>
  <si>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</si>
  <si>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</si>
  <si>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</si>
  <si>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</si>
  <si>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</si>
  <si>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</si>
  <si>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</si>
  <si>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</si>
  <si>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</si>
  <si>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</si>
  <si>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</si>
  <si>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</si>
  <si>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</si>
  <si>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</si>
  <si>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</si>
  <si>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</si>
  <si>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</si>
  <si>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</si>
  <si>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</si>
  <si>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</si>
  <si>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</si>
  <si>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</si>
  <si>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</si>
  <si>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</si>
  <si>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</si>
  <si>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</si>
  <si>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</si>
  <si>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</si>
  <si>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</si>
  <si>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</si>
  <si>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</si>
  <si>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</si>
  <si>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</si>
  <si>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</si>
  <si>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</si>
  <si>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</si>
  <si>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</si>
  <si>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</si>
  <si>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</si>
  <si>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</si>
  <si>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</si>
  <si>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</si>
  <si>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</si>
  <si>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</si>
  <si>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</si>
  <si>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</si>
  <si>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</si>
  <si>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</si>
  <si>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</si>
  <si>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</si>
  <si>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</si>
  <si>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</si>
  <si>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</si>
  <si>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</si>
  <si>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</si>
  <si>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</si>
  <si>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</si>
  <si>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</si>
  <si>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</si>
  <si>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</si>
  <si>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</si>
  <si>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</si>
  <si>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</si>
  <si>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</si>
  <si>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</si>
  <si>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</si>
  <si>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</si>
  <si>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</si>
  <si>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</si>
  <si>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</si>
  <si>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</si>
  <si>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</si>
  <si>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</si>
  <si>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</si>
  <si>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</si>
  <si>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</si>
  <si>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</si>
  <si>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</si>
  <si>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</si>
  <si>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</si>
  <si>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</si>
  <si>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</si>
  <si>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</si>
  <si>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</si>
  <si>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</si>
  <si>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</si>
  <si>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</si>
  <si>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</si>
  <si>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</si>
  <si>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</si>
  <si>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</si>
  <si>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</si>
  <si>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</si>
  <si>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</si>
  <si>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</si>
  <si>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</si>
  <si>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</si>
  <si>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</si>
  <si>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</si>
  <si>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</si>
  <si>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</si>
  <si>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</si>
  <si>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</si>
  <si>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</si>
  <si>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</si>
  <si>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</si>
  <si>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</si>
  <si>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</si>
  <si>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</si>
  <si>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</si>
  <si>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</si>
  <si>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</si>
  <si>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</si>
  <si>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</si>
  <si>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</si>
  <si>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</si>
  <si>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</si>
  <si>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</si>
  <si>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</si>
  <si>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</si>
  <si>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</si>
  <si>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</si>
  <si>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</si>
  <si>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</si>
  <si>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</si>
  <si>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</si>
  <si>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</si>
  <si>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</si>
  <si>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</si>
  <si>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</si>
  <si>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</si>
  <si>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</si>
  <si>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</si>
  <si>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</si>
  <si>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</si>
  <si>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</si>
  <si>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</si>
  <si>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</si>
  <si>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</si>
  <si>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</si>
  <si>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</si>
  <si>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</si>
  <si>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</si>
  <si>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</si>
  <si>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</si>
  <si>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</si>
  <si>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</si>
  <si>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</si>
  <si>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</si>
  <si>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</si>
  <si>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</si>
  <si>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</si>
  <si>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</si>
  <si>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</si>
  <si>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</si>
  <si>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</si>
  <si>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</si>
  <si>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</si>
  <si>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</si>
  <si>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</si>
  <si>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</si>
  <si>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</si>
  <si>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</si>
  <si>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</si>
  <si>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</si>
  <si>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</si>
  <si>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</si>
  <si>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</si>
  <si>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</si>
  <si>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</si>
  <si>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</si>
  <si>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</si>
  <si>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</si>
  <si>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</si>
  <si>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</si>
  <si>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</si>
  <si>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</si>
  <si>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</si>
  <si>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</si>
  <si>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</si>
  <si>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</si>
  <si>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</si>
  <si>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</si>
  <si>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</si>
  <si>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</si>
  <si>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</si>
  <si>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</si>
  <si>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</si>
  <si>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</si>
  <si>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</si>
  <si>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</si>
  <si>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</si>
  <si>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</si>
  <si>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</si>
  <si>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</si>
  <si>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</si>
  <si>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</si>
  <si>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</si>
  <si>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</si>
  <si>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</si>
  <si>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</si>
  <si>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</si>
  <si>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</si>
  <si>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</si>
  <si>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</si>
  <si>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</si>
  <si>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</si>
  <si>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</si>
  <si>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</si>
  <si>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</si>
  <si>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</si>
  <si>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</si>
  <si>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</si>
  <si>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</si>
  <si>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</si>
  <si>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</si>
  <si>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</si>
  <si>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</si>
  <si>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</si>
  <si>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</si>
  <si>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</si>
  <si>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</si>
  <si>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</si>
  <si>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</si>
  <si>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</si>
  <si>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</si>
  <si>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</si>
  <si>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</si>
  <si>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</si>
  <si>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</si>
  <si>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</si>
  <si>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</si>
  <si>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</si>
  <si>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</si>
  <si>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</si>
  <si>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</si>
  <si>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</si>
  <si>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</si>
  <si>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</si>
  <si>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</si>
  <si>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</si>
  <si>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</si>
  <si>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</si>
  <si>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</si>
  <si>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</si>
  <si>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</si>
  <si>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</si>
  <si>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</si>
  <si>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</si>
  <si>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</si>
  <si>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</si>
  <si>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</si>
  <si>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</si>
  <si>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</si>
  <si>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</si>
  <si>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</si>
  <si>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</si>
  <si>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</si>
  <si>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</si>
  <si>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</si>
  <si>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</si>
  <si>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</si>
  <si>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</si>
  <si>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</si>
  <si>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</si>
  <si>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</si>
  <si>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</si>
  <si>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</si>
  <si>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</si>
  <si>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</si>
  <si>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</si>
  <si>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</si>
  <si>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</si>
  <si>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</si>
  <si>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</si>
  <si>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</si>
  <si>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</si>
  <si>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</si>
  <si>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</si>
  <si>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</si>
  <si>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</si>
  <si>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</si>
  <si>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</si>
  <si>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</si>
  <si>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</si>
  <si>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</si>
  <si>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</si>
  <si>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</si>
  <si>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</si>
  <si>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</si>
  <si>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</si>
  <si>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</si>
  <si>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</si>
  <si>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</si>
  <si>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</si>
  <si>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</si>
  <si>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</si>
  <si>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</si>
  <si>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</si>
  <si>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</si>
  <si>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</si>
  <si>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</si>
  <si>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</si>
  <si>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</si>
  <si>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</si>
  <si>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</si>
  <si>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</si>
  <si>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</si>
  <si>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</si>
  <si>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</si>
  <si>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</si>
  <si>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</si>
  <si>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</si>
  <si>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</si>
  <si>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</si>
  <si>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</si>
  <si>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</si>
  <si>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</si>
  <si>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</si>
  <si>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</si>
  <si>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</si>
  <si>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</si>
  <si>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</si>
  <si>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</si>
  <si>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</si>
  <si>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</si>
  <si>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</si>
  <si>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</si>
  <si>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</si>
  <si>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</si>
  <si>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</si>
  <si>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</si>
  <si>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</si>
  <si>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</si>
  <si>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</si>
  <si>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</si>
  <si>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</si>
  <si>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</si>
  <si>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</si>
  <si>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</si>
  <si>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</si>
  <si>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</si>
  <si>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</si>
  <si>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</si>
  <si>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</si>
  <si>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</si>
  <si>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</si>
  <si>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</si>
  <si>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</si>
  <si>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</si>
  <si>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</si>
  <si>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</si>
  <si>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</si>
  <si>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</si>
  <si>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</si>
  <si>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</si>
  <si>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</si>
  <si>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</si>
  <si>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</si>
  <si>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</si>
  <si>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</si>
  <si>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</si>
  <si>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</si>
  <si>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</si>
  <si>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</si>
  <si>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</si>
  <si>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</si>
  <si>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</si>
  <si>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</si>
  <si>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</si>
  <si>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</si>
  <si>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</si>
  <si>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</si>
  <si>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</si>
  <si>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</si>
  <si>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</si>
  <si>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</si>
  <si>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</si>
  <si>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</si>
  <si>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</si>
  <si>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</si>
  <si>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</si>
  <si>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</si>
  <si>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</si>
  <si>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</si>
  <si>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</si>
  <si>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</si>
  <si>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</si>
  <si>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</si>
  <si>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</si>
  <si>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</si>
  <si>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</si>
  <si>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</si>
  <si>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</si>
  <si>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</si>
  <si>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</si>
  <si>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</si>
  <si>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</si>
  <si>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</si>
  <si>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</si>
  <si>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</si>
  <si>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</si>
  <si>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</si>
  <si>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</si>
  <si>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</si>
  <si>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</si>
  <si>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</si>
  <si>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</si>
  <si>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</si>
  <si>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</si>
  <si>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</si>
  <si>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</si>
  <si>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</si>
  <si>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</si>
  <si>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</si>
  <si>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</si>
  <si>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</si>
  <si>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</si>
  <si>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</si>
  <si>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</si>
  <si>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</si>
  <si>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</si>
  <si>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</si>
  <si>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</si>
  <si>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</si>
  <si>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</si>
  <si>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</si>
  <si>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</si>
  <si>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</si>
  <si>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</si>
  <si>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</si>
  <si>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</si>
  <si>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</si>
  <si>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</si>
  <si>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</si>
  <si>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</si>
  <si>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</si>
  <si>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</si>
  <si>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</si>
  <si>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</si>
  <si>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</si>
  <si>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</si>
  <si>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</si>
  <si>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</si>
  <si>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</si>
  <si>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</si>
  <si>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</si>
  <si>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</si>
  <si>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</si>
  <si>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</si>
  <si>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</si>
  <si>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</si>
  <si>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</si>
  <si>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</si>
  <si>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</si>
  <si>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</si>
  <si>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</si>
  <si>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</si>
  <si>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</si>
  <si>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</si>
  <si>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</si>
  <si>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</si>
  <si>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</si>
  <si>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</si>
  <si>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</si>
  <si>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</si>
  <si>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</si>
  <si>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</si>
  <si>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</si>
  <si>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</si>
  <si>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</si>
  <si>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</si>
  <si>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</si>
  <si>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</si>
  <si>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</si>
  <si>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</si>
  <si>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</si>
  <si>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</si>
  <si>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</si>
  <si>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</si>
  <si>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</si>
  <si>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</si>
  <si>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</si>
  <si>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</si>
  <si>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</si>
  <si>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</si>
  <si>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</si>
  <si>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</si>
  <si>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</si>
  <si>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</si>
  <si>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</si>
  <si>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</si>
  <si>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</si>
  <si>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</si>
  <si>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</si>
  <si>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</si>
  <si>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</si>
  <si>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</si>
  <si>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</si>
  <si>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</si>
  <si>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</si>
  <si>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</si>
  <si>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</si>
  <si>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</si>
  <si>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</si>
  <si>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</si>
  <si>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</si>
  <si>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</si>
  <si>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</si>
  <si>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</si>
  <si>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</si>
  <si>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</si>
  <si>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</si>
  <si>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</si>
  <si>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</si>
  <si>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</si>
  <si>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</si>
  <si>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</si>
  <si>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</si>
  <si>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</si>
  <si>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</si>
  <si>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</si>
  <si>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</si>
  <si>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</si>
  <si>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</si>
  <si>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</si>
  <si>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</si>
  <si>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</si>
  <si>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</si>
  <si>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</si>
  <si>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</si>
  <si>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</si>
  <si>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</si>
  <si>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</si>
  <si>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</si>
  <si>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</si>
  <si>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</si>
  <si>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</si>
  <si>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</si>
  <si>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</si>
  <si>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</si>
  <si>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</si>
  <si>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</si>
  <si>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</si>
  <si>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</si>
  <si>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</si>
  <si>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</si>
  <si>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</si>
  <si>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</si>
  <si>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</si>
  <si>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</si>
  <si>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</si>
  <si>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</si>
  <si>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</si>
  <si>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</si>
  <si>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</si>
  <si>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</si>
  <si>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</si>
  <si>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</si>
  <si>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</si>
  <si>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</si>
  <si>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</si>
  <si>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</si>
  <si>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</si>
  <si>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</si>
  <si>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</si>
  <si>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</si>
  <si>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</si>
  <si>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</si>
  <si>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</si>
  <si>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</si>
  <si>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</si>
  <si>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</si>
  <si>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</si>
  <si>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</si>
  <si>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</si>
  <si>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</si>
  <si>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</si>
  <si>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</si>
  <si>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</si>
  <si>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</si>
  <si>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</si>
  <si>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</si>
  <si>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</si>
  <si>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</si>
  <si>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</si>
  <si>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</si>
  <si>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</si>
  <si>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</si>
  <si>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</si>
  <si>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</si>
  <si>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</si>
  <si>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</si>
  <si>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</si>
  <si>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</si>
  <si>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</si>
  <si>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</si>
  <si>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</si>
  <si>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</si>
  <si>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</si>
  <si>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</si>
  <si>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</si>
  <si>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</si>
  <si>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</si>
  <si>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</si>
  <si>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</si>
  <si>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</si>
  <si>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</si>
  <si>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</si>
  <si>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</si>
  <si>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</si>
  <si>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</si>
  <si>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</si>
  <si>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</si>
  <si>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</si>
  <si>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</si>
  <si>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</si>
  <si>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</si>
  <si>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</si>
  <si>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</si>
  <si>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</si>
  <si>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</si>
  <si>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</si>
  <si>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</si>
  <si>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</si>
  <si>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</si>
  <si>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</si>
  <si>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</si>
  <si>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</si>
  <si>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</si>
  <si>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</si>
  <si>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</si>
  <si>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</si>
  <si>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</si>
  <si>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</si>
  <si>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</si>
  <si>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</si>
  <si>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</si>
  <si>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</si>
  <si>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</si>
  <si>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</si>
  <si>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</si>
  <si>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</si>
  <si>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</si>
  <si>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</si>
  <si>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</si>
  <si>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</si>
  <si>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</si>
  <si>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</si>
  <si>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</si>
  <si>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</si>
  <si>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</si>
  <si>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</si>
  <si>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</si>
  <si>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</si>
  <si>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</si>
  <si>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</si>
  <si>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</si>
  <si>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</si>
  <si>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</si>
  <si>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</si>
  <si>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</si>
  <si>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</si>
  <si>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</si>
  <si>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</si>
  <si>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</si>
  <si>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</si>
  <si>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</si>
  <si>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</si>
  <si>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</si>
  <si>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</si>
  <si>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</si>
  <si>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</si>
  <si>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</si>
  <si>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</si>
  <si>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</si>
  <si>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</si>
  <si>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</si>
  <si>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</si>
  <si>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</si>
  <si>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</si>
  <si>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</si>
  <si>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</si>
  <si>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</si>
  <si>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</si>
  <si>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</si>
  <si>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</si>
  <si>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</si>
  <si>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</si>
  <si>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</si>
  <si>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</si>
  <si>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</si>
  <si>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</si>
  <si>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</si>
  <si>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</si>
  <si>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</si>
  <si>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</si>
  <si>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</si>
  <si>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</si>
  <si>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</si>
  <si>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</si>
  <si>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</si>
  <si>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</si>
  <si>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</si>
  <si>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</si>
  <si>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</si>
  <si>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</si>
  <si>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</si>
  <si>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</si>
  <si>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</si>
  <si>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</si>
  <si>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</si>
  <si>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</si>
  <si>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</si>
  <si>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</si>
  <si>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</si>
  <si>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</si>
  <si>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</si>
  <si>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</si>
  <si>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</si>
  <si>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</si>
  <si>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</si>
  <si>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</si>
  <si>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</si>
  <si>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</si>
  <si>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</si>
  <si>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</si>
  <si>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</si>
  <si>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</si>
  <si>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</si>
  <si>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</si>
  <si>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</si>
  <si>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</si>
  <si>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</si>
  <si>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</si>
  <si>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</si>
  <si>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</si>
  <si>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</si>
  <si>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</si>
  <si>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</si>
  <si>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</si>
  <si>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</si>
  <si>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</si>
  <si>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</si>
  <si>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</si>
  <si>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</si>
  <si>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</si>
  <si>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</si>
  <si>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</si>
  <si>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</si>
  <si>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</si>
  <si>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</si>
  <si>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</si>
  <si>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</si>
  <si>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</si>
  <si>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</si>
  <si>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</si>
  <si>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</si>
  <si>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</si>
  <si>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</si>
  <si>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</si>
  <si>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</si>
  <si>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</si>
  <si>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</si>
  <si>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</si>
  <si>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</si>
  <si>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</si>
  <si>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</si>
  <si>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</si>
  <si>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</si>
  <si>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</si>
  <si>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</si>
  <si>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</si>
  <si>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</si>
  <si>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</si>
  <si>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</si>
  <si>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</si>
  <si>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</si>
  <si>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</si>
  <si>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</si>
  <si>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</si>
  <si>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</si>
  <si>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</si>
  <si>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</si>
  <si>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</si>
  <si>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</si>
  <si>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</si>
  <si>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</si>
  <si>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</si>
  <si>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</si>
  <si>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</si>
  <si>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</si>
  <si>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</si>
  <si>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</si>
  <si>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</si>
  <si>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</si>
  <si>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</si>
  <si>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</si>
  <si>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</si>
  <si>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</si>
  <si>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</si>
  <si>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</si>
  <si>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</si>
  <si>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</si>
  <si>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</si>
  <si>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</si>
  <si>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</si>
  <si>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</si>
  <si>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</si>
  <si>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</si>
  <si>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</si>
  <si>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</si>
  <si>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</si>
  <si>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</si>
  <si>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</si>
  <si>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</si>
  <si>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</si>
  <si>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</si>
  <si>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</si>
  <si>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</si>
  <si>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</si>
  <si>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</si>
  <si>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</si>
  <si>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</si>
  <si>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</si>
  <si>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</si>
  <si>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</si>
  <si>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</si>
  <si>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</si>
  <si>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</si>
  <si>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</si>
  <si>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</si>
  <si>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</si>
  <si>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</si>
  <si>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</si>
  <si>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</si>
  <si>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</si>
  <si>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</si>
  <si>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</si>
  <si>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</si>
  <si>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</si>
  <si>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</si>
  <si>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</si>
  <si>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</si>
  <si>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</si>
  <si>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</si>
  <si>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</si>
  <si>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</si>
  <si>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</si>
  <si>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</si>
  <si>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</si>
  <si>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</si>
  <si>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</si>
  <si>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</si>
  <si>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</si>
  <si>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</si>
  <si>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</si>
  <si>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</si>
  <si>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</si>
  <si>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</si>
  <si>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</si>
  <si>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SAU 27 - Litchfield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</si>
</sst>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L666" sqref="L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315</v>
      </c>
      <c r="C2" s="21">
        <v>315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1288292.8400000001</v>
      </c>
      <c r="G9" s="18"/>
      <c r="H9" s="18">
        <v>7239.91</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29354.11</v>
      </c>
      <c r="G12" s="18">
        <v>40257.589999999997</v>
      </c>
      <c r="H12" s="18"/>
      <c r="I12" s="18"/>
      <c r="J12" s="67">
        <f>SUM(I441)</f>
        <v>1738</v>
      </c>
      <c r="K12" s="24" t="s">
        <v>288</v>
      </c>
      <c r="L12" s="24" t="s">
        <v>288</v>
      </c>
      <c r="M12" s="8"/>
      <c r="N12" s="266"/>
    </row>
    <row r="13" spans="1:14" s="3" customFormat="1" ht="12.2" customHeight="1" x14ac:dyDescent="0.15">
      <c r="A13" s="1" t="s">
        <v>604</v>
      </c>
      <c r="B13" s="2" t="s">
        <v>289</v>
      </c>
      <c r="C13" s="6">
        <v>5</v>
      </c>
      <c r="D13" s="2" t="s">
        <v>428</v>
      </c>
      <c r="E13" s="6">
        <v>140</v>
      </c>
      <c r="F13" s="18">
        <v>5292.67</v>
      </c>
      <c r="G13" s="18">
        <v>4960.9799999999996</v>
      </c>
      <c r="H13" s="18">
        <v>71085.83</v>
      </c>
      <c r="I13" s="18"/>
      <c r="J13" s="67">
        <f>SUM(I442)</f>
        <v>368818.91</v>
      </c>
      <c r="K13" s="24" t="s">
        <v>288</v>
      </c>
      <c r="L13" s="24" t="s">
        <v>288</v>
      </c>
      <c r="M13" s="8"/>
      <c r="N13" s="266"/>
    </row>
    <row r="14" spans="1:14" s="3" customFormat="1" ht="12.2" customHeight="1" x14ac:dyDescent="0.15">
      <c r="A14" s="1" t="s">
        <v>565</v>
      </c>
      <c r="B14" s="2" t="s">
        <v>289</v>
      </c>
      <c r="C14" s="6">
        <v>6</v>
      </c>
      <c r="D14" s="2" t="s">
        <v>428</v>
      </c>
      <c r="E14" s="6">
        <v>150</v>
      </c>
      <c r="F14" s="18">
        <f>7377.63+228.23</f>
        <v>7605.86</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1925</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1332470.4800000002</v>
      </c>
      <c r="G19" s="41">
        <f>SUM(G9:G18)</f>
        <v>45218.569999999992</v>
      </c>
      <c r="H19" s="41">
        <f>SUM(H9:H18)</f>
        <v>78325.740000000005</v>
      </c>
      <c r="I19" s="41">
        <f>SUM(I9:I18)</f>
        <v>0</v>
      </c>
      <c r="J19" s="41">
        <f>SUM(J9:J18)</f>
        <v>370556.91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49492.61+2094</f>
        <v>51586.61</v>
      </c>
      <c r="G22" s="18">
        <f>28908.82+445.36</f>
        <v>29354.18</v>
      </c>
      <c r="H22" s="18">
        <v>5146.3599999999997</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101685.29</v>
      </c>
      <c r="G24" s="18"/>
      <c r="H24" s="18">
        <v>5865.93</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24891.75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708182.21-7461.6</f>
        <v>700720.61</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7461.6</v>
      </c>
      <c r="G30" s="18">
        <v>15864.39</v>
      </c>
      <c r="H30" s="18">
        <v>67313.45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886345.86</v>
      </c>
      <c r="G32" s="41">
        <f>SUM(G22:G31)</f>
        <v>45218.57</v>
      </c>
      <c r="H32" s="41">
        <f>SUM(H22:H31)</f>
        <v>78325.739999999991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1925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370556.91</v>
      </c>
      <c r="K48" s="24" t="s">
        <v>288</v>
      </c>
      <c r="L48" s="24" t="s">
        <v>288</v>
      </c>
      <c r="M48" s="8"/>
      <c r="N48" s="266"/>
    </row>
    <row r="49" spans="1:14" s="3" customFormat="1" ht="12.2" customHeight="1" x14ac:dyDescent="0.15">
      <c r="A49" s="1" t="s">
        <v>859</v>
      </c>
      <c r="B49" s="2" t="s">
        <v>289</v>
      </c>
      <c r="C49" s="6">
        <v>34</v>
      </c>
      <c r="D49" s="2"/>
      <c r="E49" s="6">
        <v>753</v>
      </c>
      <c r="F49" s="18">
        <v>194702</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-1925+151422.62</f>
        <v>149497.62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446124.62</v>
      </c>
      <c r="G51" s="41">
        <f>SUM(G35:G50)</f>
        <v>0</v>
      </c>
      <c r="H51" s="41">
        <f>SUM(H35:H50)</f>
        <v>0</v>
      </c>
      <c r="I51" s="41">
        <f>SUM(I35:I50)</f>
        <v>0</v>
      </c>
      <c r="J51" s="41">
        <f>SUM(J35:J50)</f>
        <v>370556.91</v>
      </c>
      <c r="K51" s="45" t="s">
        <v>288</v>
      </c>
      <c r="L51" s="45" t="s">
        <v>288</v>
      </c>
      <c r="N51" s="264"/>
    </row>
    <row r="52" spans="1:14" s="3" customFormat="1" ht="12.2" customHeight="1" thickTop="1" x14ac:dyDescent="0.15">
      <c r="A52" s="38" t="s">
        <v>455</v>
      </c>
      <c r="B52" s="39" t="s">
        <v>289</v>
      </c>
      <c r="C52" s="6">
        <v>37</v>
      </c>
      <c r="D52" s="39" t="s">
        <v>653</v>
      </c>
      <c r="E52" s="39"/>
      <c r="F52" s="41">
        <f>F51+F32</f>
        <v>1332470.48</v>
      </c>
      <c r="G52" s="41">
        <f>G51+G32</f>
        <v>45218.57</v>
      </c>
      <c r="H52" s="41">
        <f>H51+H32</f>
        <v>78325.739999999991</v>
      </c>
      <c r="I52" s="41">
        <f>I51+I32</f>
        <v>0</v>
      </c>
      <c r="J52" s="41">
        <f>J51+J32</f>
        <v>370556.91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15605955-1918836</f>
        <v>13687119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13687119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9550+36870.4-1950</f>
        <v>44470.400000000001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44470.400000000001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6889.82</v>
      </c>
      <c r="G96" s="18">
        <v>1.73</v>
      </c>
      <c r="H96" s="18"/>
      <c r="I96" s="18"/>
      <c r="J96" s="18">
        <v>4592.45</v>
      </c>
      <c r="K96" s="24" t="s">
        <v>288</v>
      </c>
      <c r="L96" s="24" t="s">
        <v>288</v>
      </c>
      <c r="M96" s="8"/>
      <c r="N96" s="266"/>
    </row>
    <row r="97" spans="1:14" s="3" customFormat="1" ht="12.2" customHeight="1" x14ac:dyDescent="0.15">
      <c r="A97" s="1" t="s">
        <v>503</v>
      </c>
      <c r="B97" s="2" t="s">
        <v>315</v>
      </c>
      <c r="C97" s="6">
        <v>12</v>
      </c>
      <c r="D97" s="2" t="s">
        <v>430</v>
      </c>
      <c r="E97" s="6">
        <v>1600</v>
      </c>
      <c r="F97" s="24" t="s">
        <v>288</v>
      </c>
      <c r="G97" s="18">
        <f>75958.75+140834.96+145168.28+0.59</f>
        <v>361962.58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2700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16364.26+855.5</f>
        <v>17219.760000000002</v>
      </c>
      <c r="G110" s="18"/>
      <c r="H110" s="18">
        <v>13840.93</v>
      </c>
      <c r="I110" s="18">
        <v>148107.5</v>
      </c>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26809.58</v>
      </c>
      <c r="G111" s="41">
        <f>SUM(G96:G110)</f>
        <v>361964.31</v>
      </c>
      <c r="H111" s="41">
        <f>SUM(H96:H110)</f>
        <v>13840.93</v>
      </c>
      <c r="I111" s="41">
        <f>SUM(I96:I110)</f>
        <v>148107.5</v>
      </c>
      <c r="J111" s="41">
        <f>SUM(J96:J110)</f>
        <v>4592.45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13758398.98</v>
      </c>
      <c r="G112" s="41">
        <f>G60+G111</f>
        <v>361964.31</v>
      </c>
      <c r="H112" s="41">
        <f>H60+H79+H94+H111</f>
        <v>13840.93</v>
      </c>
      <c r="I112" s="41">
        <f>I60+I111</f>
        <v>148107.5</v>
      </c>
      <c r="J112" s="41">
        <f>J60+J111</f>
        <v>4592.45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5156761.6500000004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1918836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2151.7</f>
        <v>2151.6999999999998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7077749.3500000006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88000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87356.95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1012.5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f>8611.26</f>
        <v>8611.26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4539.16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11864.58</v>
      </c>
      <c r="I135" s="18">
        <v>63280</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184980.71000000002</v>
      </c>
      <c r="G136" s="41">
        <f>SUM(G123:G135)</f>
        <v>4539.16</v>
      </c>
      <c r="H136" s="41">
        <f>SUM(H123:H135)</f>
        <v>11864.58</v>
      </c>
      <c r="I136" s="41">
        <f>SUM(I123:I135)</f>
        <v>63280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7262730.0600000005</v>
      </c>
      <c r="G140" s="41">
        <f>G121+SUM(G136:G137)</f>
        <v>4539.16</v>
      </c>
      <c r="H140" s="41">
        <f>H121+SUM(H136:H139)</f>
        <v>11864.58</v>
      </c>
      <c r="I140" s="41">
        <f>I121+I136</f>
        <v>63280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77260.960000000006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76454.12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85570</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283840.96999999997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139805.35999999999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56875</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139805.35999999999</v>
      </c>
      <c r="G162" s="41">
        <f>SUM(G150:G161)</f>
        <v>85570</v>
      </c>
      <c r="H162" s="41">
        <f>SUM(H150:H161)</f>
        <v>494431.05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139805.35999999999</v>
      </c>
      <c r="G169" s="41">
        <f>G147+G162+SUM(G163:G168)</f>
        <v>85570</v>
      </c>
      <c r="H169" s="41">
        <f>H147+H162+SUM(H163:H168)</f>
        <v>494431.05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40257</v>
      </c>
      <c r="H179" s="18"/>
      <c r="I179" s="18">
        <v>326726.61</v>
      </c>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v>1738</v>
      </c>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40257</v>
      </c>
      <c r="H183" s="41">
        <f>SUM(H179:H182)</f>
        <v>0</v>
      </c>
      <c r="I183" s="41">
        <f>SUM(I179:I182)</f>
        <v>326726.61</v>
      </c>
      <c r="J183" s="41">
        <f>SUM(J179:J182)</f>
        <v>51738</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40257</v>
      </c>
      <c r="H192" s="41">
        <f>+H183+SUM(H188:H191)</f>
        <v>0</v>
      </c>
      <c r="I192" s="41">
        <f>I177+I183+SUM(I188:I191)</f>
        <v>326726.61</v>
      </c>
      <c r="J192" s="41">
        <f>J183</f>
        <v>51738</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21160934.399999999</v>
      </c>
      <c r="G193" s="47">
        <f>G112+G140+G169+G192</f>
        <v>492330.47</v>
      </c>
      <c r="H193" s="47">
        <f>H112+H140+H169+H192</f>
        <v>520136.56</v>
      </c>
      <c r="I193" s="47">
        <f>I112+I140+I169+I192</f>
        <v>538114.11</v>
      </c>
      <c r="J193" s="47">
        <f>J112+J140+J192</f>
        <v>56330.45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1978682.43</v>
      </c>
      <c r="G197" s="18">
        <v>916763.52543378994</v>
      </c>
      <c r="H197" s="18">
        <v>16990.05</v>
      </c>
      <c r="I197" s="18">
        <v>60442.91</v>
      </c>
      <c r="J197" s="18">
        <v>3708.83</v>
      </c>
      <c r="K197" s="18">
        <v>308</v>
      </c>
      <c r="L197" s="19">
        <f>SUM(F197:K197)</f>
        <v>2976895.7454337897</v>
      </c>
      <c r="M197" s="8"/>
      <c r="N197" s="266"/>
    </row>
    <row r="198" spans="1:14" s="3" customFormat="1" ht="12.2" customHeight="1" x14ac:dyDescent="0.15">
      <c r="A198" s="1" t="s">
        <v>439</v>
      </c>
      <c r="B198" s="2" t="s">
        <v>341</v>
      </c>
      <c r="C198" s="2" t="s">
        <v>291</v>
      </c>
      <c r="D198" s="2" t="s">
        <v>431</v>
      </c>
      <c r="E198" s="6">
        <v>1200</v>
      </c>
      <c r="F198" s="18">
        <v>850101.74274497223</v>
      </c>
      <c r="G198" s="18">
        <v>219817.9073102051</v>
      </c>
      <c r="H198" s="18">
        <v>229756.91865861122</v>
      </c>
      <c r="I198" s="18">
        <v>8724.3169787228017</v>
      </c>
      <c r="J198" s="18">
        <v>8062.14</v>
      </c>
      <c r="K198" s="18">
        <v>7351.28666721012</v>
      </c>
      <c r="L198" s="19">
        <f>SUM(F198:K198)</f>
        <v>1323814.3123597212</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19519.32</v>
      </c>
      <c r="G200" s="18">
        <v>4219.67</v>
      </c>
      <c r="H200" s="18">
        <v>0</v>
      </c>
      <c r="I200" s="18">
        <v>1695.48</v>
      </c>
      <c r="J200" s="18">
        <v>0</v>
      </c>
      <c r="K200" s="18">
        <v>200</v>
      </c>
      <c r="L200" s="19">
        <f>SUM(F200:K200)</f>
        <v>25634.469999999998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311430.01926940639</v>
      </c>
      <c r="G202" s="18">
        <v>133394.89584474885</v>
      </c>
      <c r="H202" s="18">
        <v>21139.892488584475</v>
      </c>
      <c r="I202" s="18">
        <v>4225.8048630136982</v>
      </c>
      <c r="J202" s="18">
        <v>1930.8190182648402</v>
      </c>
      <c r="K202" s="18">
        <v>179</v>
      </c>
      <c r="L202" s="19">
        <f t="shared" ref="L202:L208" si="0">SUM(F202:K202)</f>
        <v>472300.43148401828</v>
      </c>
      <c r="M202" s="8"/>
      <c r="N202" s="266"/>
    </row>
    <row r="203" spans="1:14" s="3" customFormat="1" ht="12.2" customHeight="1" x14ac:dyDescent="0.15">
      <c r="A203" s="1" t="s">
        <v>443</v>
      </c>
      <c r="B203" s="2" t="s">
        <v>341</v>
      </c>
      <c r="C203" s="2" t="s">
        <v>295</v>
      </c>
      <c r="D203" s="2" t="s">
        <v>431</v>
      </c>
      <c r="E203" s="6">
        <v>2200</v>
      </c>
      <c r="F203" s="18">
        <v>109207.03424657533</v>
      </c>
      <c r="G203" s="18">
        <v>54398.525867579905</v>
      </c>
      <c r="H203" s="18">
        <v>11221.300045662101</v>
      </c>
      <c r="I203" s="18">
        <v>38709.504452054796</v>
      </c>
      <c r="J203" s="18">
        <v>12899.132602739726</v>
      </c>
      <c r="K203" s="18">
        <v>454.15296803652967</v>
      </c>
      <c r="L203" s="19">
        <f t="shared" si="0"/>
        <v>226889.65018264839</v>
      </c>
      <c r="M203" s="8"/>
      <c r="N203" s="266"/>
    </row>
    <row r="204" spans="1:14" s="3" customFormat="1" ht="12.2" customHeight="1" x14ac:dyDescent="0.15">
      <c r="A204" s="1" t="s">
        <v>444</v>
      </c>
      <c r="B204" s="2" t="s">
        <v>341</v>
      </c>
      <c r="C204" s="2" t="s">
        <v>296</v>
      </c>
      <c r="D204" s="2" t="s">
        <v>431</v>
      </c>
      <c r="E204" s="6">
        <v>2300</v>
      </c>
      <c r="F204" s="18">
        <v>154514.43435696181</v>
      </c>
      <c r="G204" s="18">
        <v>65202.259682302756</v>
      </c>
      <c r="H204" s="18">
        <v>35739.587697800423</v>
      </c>
      <c r="I204" s="18">
        <v>1788.2036181973895</v>
      </c>
      <c r="J204" s="18">
        <v>0</v>
      </c>
      <c r="K204" s="18">
        <v>4794.9232586812832</v>
      </c>
      <c r="L204" s="19">
        <f t="shared" si="0"/>
        <v>262039.40861394367</v>
      </c>
      <c r="M204" s="8"/>
      <c r="N204" s="266"/>
    </row>
    <row r="205" spans="1:14" s="3" customFormat="1" ht="12.2" customHeight="1" x14ac:dyDescent="0.15">
      <c r="A205" s="1" t="s">
        <v>445</v>
      </c>
      <c r="B205" s="2" t="s">
        <v>341</v>
      </c>
      <c r="C205" s="2" t="s">
        <v>297</v>
      </c>
      <c r="D205" s="2" t="s">
        <v>431</v>
      </c>
      <c r="E205" s="6">
        <v>2400</v>
      </c>
      <c r="F205" s="18">
        <v>298817.02</v>
      </c>
      <c r="G205" s="18">
        <v>148172.06</v>
      </c>
      <c r="H205" s="18">
        <v>3374.48</v>
      </c>
      <c r="I205" s="18">
        <v>2237.6999999999998</v>
      </c>
      <c r="J205" s="18">
        <v>2372.48</v>
      </c>
      <c r="K205" s="18">
        <v>3252.95</v>
      </c>
      <c r="L205" s="19">
        <f t="shared" si="0"/>
        <v>458226.69</v>
      </c>
      <c r="M205" s="8"/>
      <c r="N205" s="266"/>
    </row>
    <row r="206" spans="1:14" s="3" customFormat="1" ht="12.2" customHeight="1" x14ac:dyDescent="0.15">
      <c r="A206" s="1" t="s">
        <v>446</v>
      </c>
      <c r="B206" s="2" t="s">
        <v>341</v>
      </c>
      <c r="C206" s="2" t="s">
        <v>298</v>
      </c>
      <c r="D206" s="2" t="s">
        <v>431</v>
      </c>
      <c r="E206" s="6">
        <v>2500</v>
      </c>
      <c r="F206" s="18">
        <v>67216.94050228312</v>
      </c>
      <c r="G206" s="18">
        <v>34543.082648401818</v>
      </c>
      <c r="H206" s="18">
        <v>19455.522442922374</v>
      </c>
      <c r="I206" s="18">
        <v>1019.9587442922374</v>
      </c>
      <c r="J206" s="18">
        <v>0</v>
      </c>
      <c r="K206" s="18">
        <v>547.34931506849318</v>
      </c>
      <c r="L206" s="19">
        <f t="shared" si="0"/>
        <v>122782.85365296804</v>
      </c>
      <c r="M206" s="8"/>
      <c r="N206" s="266"/>
    </row>
    <row r="207" spans="1:14" s="3" customFormat="1" ht="12.2" customHeight="1" x14ac:dyDescent="0.15">
      <c r="A207" s="1" t="s">
        <v>447</v>
      </c>
      <c r="B207" s="2" t="s">
        <v>341</v>
      </c>
      <c r="C207" s="2" t="s">
        <v>299</v>
      </c>
      <c r="D207" s="2" t="s">
        <v>431</v>
      </c>
      <c r="E207" s="6">
        <v>2600</v>
      </c>
      <c r="F207" s="18">
        <f>28.68+21009.5+160916.83</f>
        <v>181955.00999999998</v>
      </c>
      <c r="G207" s="18">
        <f>282.42+11405.02+90267.21</f>
        <v>101954.65000000001</v>
      </c>
      <c r="H207" s="18">
        <f>133798.23+26050.85+19525.26</f>
        <v>179374.34000000003</v>
      </c>
      <c r="I207" s="18">
        <f>3781.33+164552.84</f>
        <v>168334.16999999998</v>
      </c>
      <c r="J207" s="18">
        <f>438+119.11</f>
        <v>557.11</v>
      </c>
      <c r="K207" s="18">
        <v>0</v>
      </c>
      <c r="L207" s="19">
        <f t="shared" si="0"/>
        <v>632175.27999999991</v>
      </c>
      <c r="M207" s="8"/>
      <c r="N207" s="266"/>
    </row>
    <row r="208" spans="1:14" s="3" customFormat="1" ht="12.2" customHeight="1" x14ac:dyDescent="0.15">
      <c r="A208" s="1" t="s">
        <v>448</v>
      </c>
      <c r="B208" s="2" t="s">
        <v>341</v>
      </c>
      <c r="C208" s="2" t="s">
        <v>300</v>
      </c>
      <c r="D208" s="2" t="s">
        <v>431</v>
      </c>
      <c r="E208" s="6">
        <v>2700</v>
      </c>
      <c r="F208" s="18">
        <v>0</v>
      </c>
      <c r="G208" s="18">
        <v>0</v>
      </c>
      <c r="H208" s="18">
        <v>392533.29977918585</v>
      </c>
      <c r="I208" s="18">
        <v>0</v>
      </c>
      <c r="J208" s="18">
        <v>0</v>
      </c>
      <c r="K208" s="18">
        <v>0</v>
      </c>
      <c r="L208" s="19">
        <f t="shared" si="0"/>
        <v>392533.29977918585</v>
      </c>
      <c r="M208" s="8"/>
      <c r="N208" s="266"/>
    </row>
    <row r="209" spans="1:14" s="3" customFormat="1" ht="12.2" customHeight="1" x14ac:dyDescent="0.15">
      <c r="A209" s="1" t="s">
        <v>449</v>
      </c>
      <c r="B209" s="2" t="s">
        <v>341</v>
      </c>
      <c r="C209" s="2" t="s">
        <v>343</v>
      </c>
      <c r="D209" s="2" t="s">
        <v>431</v>
      </c>
      <c r="E209" s="6">
        <v>2800</v>
      </c>
      <c r="F209" s="18">
        <v>100006.16826484019</v>
      </c>
      <c r="G209" s="18">
        <v>48659.562009132416</v>
      </c>
      <c r="H209" s="18">
        <v>67052.172168949779</v>
      </c>
      <c r="I209" s="18">
        <v>16599.219611872144</v>
      </c>
      <c r="J209" s="18">
        <v>40804.347739726029</v>
      </c>
      <c r="K209" s="18">
        <v>783.34038812785388</v>
      </c>
      <c r="L209" s="19">
        <f>SUM(F209:K209)</f>
        <v>273904.81018264842</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4071450.119385039</v>
      </c>
      <c r="G211" s="41">
        <f t="shared" si="1"/>
        <v>1727126.1387961609</v>
      </c>
      <c r="H211" s="41">
        <f t="shared" si="1"/>
        <v>976637.5632817162</v>
      </c>
      <c r="I211" s="41">
        <f t="shared" si="1"/>
        <v>303777.26826815307</v>
      </c>
      <c r="J211" s="41">
        <f t="shared" si="1"/>
        <v>70334.859360730596</v>
      </c>
      <c r="K211" s="41">
        <f t="shared" si="1"/>
        <v>17871.002597124279</v>
      </c>
      <c r="L211" s="41">
        <f t="shared" si="1"/>
        <v>7167196.9516889248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1809681.961217656</v>
      </c>
      <c r="G215" s="18">
        <v>899713.25389649917</v>
      </c>
      <c r="H215" s="18">
        <v>15216.69</v>
      </c>
      <c r="I215" s="18">
        <v>48188.46</v>
      </c>
      <c r="J215" s="18">
        <v>4990.57</v>
      </c>
      <c r="K215" s="18">
        <v>308</v>
      </c>
      <c r="L215" s="19">
        <f>SUM(F215:K215)</f>
        <v>2778098.9351141551</v>
      </c>
      <c r="M215" s="8"/>
      <c r="N215" s="266"/>
    </row>
    <row r="216" spans="1:14" s="3" customFormat="1" ht="12.2" customHeight="1" x14ac:dyDescent="0.15">
      <c r="A216" s="1" t="s">
        <v>439</v>
      </c>
      <c r="B216" s="2" t="s">
        <v>346</v>
      </c>
      <c r="C216" s="2" t="s">
        <v>291</v>
      </c>
      <c r="D216" s="2" t="s">
        <v>431</v>
      </c>
      <c r="E216" s="6">
        <v>1200</v>
      </c>
      <c r="F216" s="18">
        <v>596515.11307765846</v>
      </c>
      <c r="G216" s="18">
        <v>121858.33271470778</v>
      </c>
      <c r="H216" s="18">
        <v>152487.42613932979</v>
      </c>
      <c r="I216" s="18">
        <v>2033.2003411759779</v>
      </c>
      <c r="J216" s="18">
        <v>3635.76</v>
      </c>
      <c r="K216" s="18">
        <v>4461.2946993813312</v>
      </c>
      <c r="L216" s="19">
        <f>SUM(F216:K216)</f>
        <v>880991.12697225343</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49707.61</v>
      </c>
      <c r="G218" s="18">
        <v>9889.0499999999993</v>
      </c>
      <c r="H218" s="18">
        <v>4984</v>
      </c>
      <c r="I218" s="18">
        <v>4792.29</v>
      </c>
      <c r="J218" s="18">
        <v>0</v>
      </c>
      <c r="K218" s="18">
        <v>1107.5</v>
      </c>
      <c r="L218" s="19">
        <f>SUM(F218:K218)</f>
        <v>70480.45</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356330.85782343993</v>
      </c>
      <c r="G220" s="18">
        <v>164150.97407914762</v>
      </c>
      <c r="H220" s="18">
        <v>21230.228143074579</v>
      </c>
      <c r="I220" s="18">
        <v>3360.1610502283106</v>
      </c>
      <c r="J220" s="18">
        <v>369.26030441400303</v>
      </c>
      <c r="K220" s="18">
        <v>0</v>
      </c>
      <c r="L220" s="19">
        <f t="shared" ref="L220:L226" si="2">SUM(F220:K220)</f>
        <v>545441.48140030436</v>
      </c>
      <c r="M220" s="8"/>
      <c r="N220" s="266"/>
    </row>
    <row r="221" spans="1:14" s="3" customFormat="1" ht="12.2" customHeight="1" x14ac:dyDescent="0.15">
      <c r="A221" s="1" t="s">
        <v>443</v>
      </c>
      <c r="B221" s="2" t="s">
        <v>346</v>
      </c>
      <c r="C221" s="2" t="s">
        <v>295</v>
      </c>
      <c r="D221" s="2" t="s">
        <v>431</v>
      </c>
      <c r="E221" s="6">
        <v>2200</v>
      </c>
      <c r="F221" s="18">
        <v>96314.737442922371</v>
      </c>
      <c r="G221" s="18">
        <v>63168.667792998473</v>
      </c>
      <c r="H221" s="18">
        <v>11098.800761035007</v>
      </c>
      <c r="I221" s="18">
        <v>39207.737534246575</v>
      </c>
      <c r="J221" s="18">
        <v>23049.973378995433</v>
      </c>
      <c r="K221" s="18">
        <v>389.54946727549464</v>
      </c>
      <c r="L221" s="19">
        <f t="shared" si="2"/>
        <v>233229.46637747338</v>
      </c>
      <c r="M221" s="8"/>
      <c r="N221" s="266"/>
    </row>
    <row r="222" spans="1:14" s="3" customFormat="1" ht="12.2" customHeight="1" x14ac:dyDescent="0.15">
      <c r="A222" s="1" t="s">
        <v>444</v>
      </c>
      <c r="B222" s="2" t="s">
        <v>346</v>
      </c>
      <c r="C222" s="2" t="s">
        <v>296</v>
      </c>
      <c r="D222" s="2" t="s">
        <v>431</v>
      </c>
      <c r="E222" s="6">
        <v>2300</v>
      </c>
      <c r="F222" s="18">
        <v>120291.57261441661</v>
      </c>
      <c r="G222" s="18">
        <v>50795.48246550055</v>
      </c>
      <c r="H222" s="18">
        <v>30387.235232009007</v>
      </c>
      <c r="I222" s="18">
        <v>1487.2476100420126</v>
      </c>
      <c r="J222" s="18">
        <v>0</v>
      </c>
      <c r="K222" s="18">
        <v>4001.4384555831152</v>
      </c>
      <c r="L222" s="19">
        <f t="shared" si="2"/>
        <v>206962.9763775513</v>
      </c>
      <c r="M222" s="8"/>
      <c r="N222" s="266"/>
    </row>
    <row r="223" spans="1:14" s="3" customFormat="1" ht="12.2" customHeight="1" x14ac:dyDescent="0.15">
      <c r="A223" s="1" t="s">
        <v>445</v>
      </c>
      <c r="B223" s="2" t="s">
        <v>346</v>
      </c>
      <c r="C223" s="2" t="s">
        <v>297</v>
      </c>
      <c r="D223" s="2" t="s">
        <v>431</v>
      </c>
      <c r="E223" s="6">
        <v>2400</v>
      </c>
      <c r="F223" s="18">
        <v>289472.48</v>
      </c>
      <c r="G223" s="18">
        <v>130423.94</v>
      </c>
      <c r="H223" s="18">
        <v>6269.14</v>
      </c>
      <c r="I223" s="18">
        <v>1670.41</v>
      </c>
      <c r="J223" s="18">
        <v>0</v>
      </c>
      <c r="K223" s="18">
        <v>6759.17</v>
      </c>
      <c r="L223" s="19">
        <f t="shared" si="2"/>
        <v>434595.13999999996</v>
      </c>
      <c r="M223" s="8"/>
      <c r="N223" s="266"/>
    </row>
    <row r="224" spans="1:14" s="3" customFormat="1" ht="12.2" customHeight="1" x14ac:dyDescent="0.15">
      <c r="A224" s="1" t="s">
        <v>446</v>
      </c>
      <c r="B224" s="2" t="s">
        <v>346</v>
      </c>
      <c r="C224" s="2" t="s">
        <v>298</v>
      </c>
      <c r="D224" s="2" t="s">
        <v>431</v>
      </c>
      <c r="E224" s="6">
        <v>2500</v>
      </c>
      <c r="F224" s="18">
        <v>57655.295038051743</v>
      </c>
      <c r="G224" s="18">
        <v>29629.310806697111</v>
      </c>
      <c r="H224" s="18">
        <v>16687.964048706239</v>
      </c>
      <c r="I224" s="18">
        <v>874.86907153729055</v>
      </c>
      <c r="J224" s="18">
        <v>0</v>
      </c>
      <c r="K224" s="18">
        <v>469.49</v>
      </c>
      <c r="L224" s="19">
        <f t="shared" si="2"/>
        <v>105316.92896499239</v>
      </c>
      <c r="M224" s="8"/>
      <c r="N224" s="266"/>
    </row>
    <row r="225" spans="1:14" s="3" customFormat="1" ht="12.2" customHeight="1" x14ac:dyDescent="0.15">
      <c r="A225" s="1" t="s">
        <v>447</v>
      </c>
      <c r="B225" s="2" t="s">
        <v>346</v>
      </c>
      <c r="C225" s="2" t="s">
        <v>299</v>
      </c>
      <c r="D225" s="2" t="s">
        <v>431</v>
      </c>
      <c r="E225" s="6">
        <v>2600</v>
      </c>
      <c r="F225" s="18">
        <f>186248.96+24.6+18020.89</f>
        <v>204294.45</v>
      </c>
      <c r="G225" s="18">
        <f>93050.38+242.24+9782.65</f>
        <v>103075.27</v>
      </c>
      <c r="H225" s="18">
        <f>165760.06+22345.1+16748.12</f>
        <v>204853.28</v>
      </c>
      <c r="I225" s="18">
        <f>159172.7+3243.43</f>
        <v>162416.13</v>
      </c>
      <c r="J225" s="18">
        <f>375.7+1909+0.4</f>
        <v>2285.1</v>
      </c>
      <c r="K225" s="18">
        <v>0</v>
      </c>
      <c r="L225" s="19">
        <f t="shared" si="2"/>
        <v>676924.23</v>
      </c>
      <c r="M225" s="8"/>
      <c r="N225" s="266"/>
    </row>
    <row r="226" spans="1:14" s="3" customFormat="1" ht="12.2" customHeight="1" x14ac:dyDescent="0.15">
      <c r="A226" s="1" t="s">
        <v>448</v>
      </c>
      <c r="B226" s="2" t="s">
        <v>346</v>
      </c>
      <c r="C226" s="2" t="s">
        <v>300</v>
      </c>
      <c r="D226" s="2" t="s">
        <v>431</v>
      </c>
      <c r="E226" s="6">
        <v>2700</v>
      </c>
      <c r="F226" s="18">
        <v>0</v>
      </c>
      <c r="G226" s="18">
        <v>0</v>
      </c>
      <c r="H226" s="18">
        <v>313489.52536312083</v>
      </c>
      <c r="I226" s="18">
        <v>0</v>
      </c>
      <c r="J226" s="18">
        <v>0</v>
      </c>
      <c r="K226" s="18">
        <v>0</v>
      </c>
      <c r="L226" s="19">
        <f t="shared" si="2"/>
        <v>313489.52536312083</v>
      </c>
      <c r="M226" s="8"/>
      <c r="N226" s="266"/>
    </row>
    <row r="227" spans="1:14" s="3" customFormat="1" ht="12.2" customHeight="1" x14ac:dyDescent="0.15">
      <c r="A227" s="1" t="s">
        <v>449</v>
      </c>
      <c r="B227" s="2" t="s">
        <v>346</v>
      </c>
      <c r="C227" s="2" t="s">
        <v>343</v>
      </c>
      <c r="D227" s="2" t="s">
        <v>431</v>
      </c>
      <c r="E227" s="6">
        <v>2800</v>
      </c>
      <c r="F227" s="18">
        <v>85780.237747336374</v>
      </c>
      <c r="G227" s="18">
        <v>41737.713485540335</v>
      </c>
      <c r="H227" s="18">
        <v>62964.146149162858</v>
      </c>
      <c r="I227" s="18">
        <v>15705.916864535768</v>
      </c>
      <c r="J227" s="18">
        <v>35862.985662100458</v>
      </c>
      <c r="K227" s="18">
        <v>671.90980213089802</v>
      </c>
      <c r="L227" s="19">
        <f>SUM(F227:K227)</f>
        <v>242722.90971080671</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3666044.3149614814</v>
      </c>
      <c r="G229" s="41">
        <f>SUM(G215:G228)</f>
        <v>1614441.9952410909</v>
      </c>
      <c r="H229" s="41">
        <f>SUM(H215:H228)</f>
        <v>839668.43583643832</v>
      </c>
      <c r="I229" s="41">
        <f>SUM(I215:I228)</f>
        <v>279736.42247176595</v>
      </c>
      <c r="J229" s="41">
        <f>SUM(J215:J228)</f>
        <v>70193.649345509897</v>
      </c>
      <c r="K229" s="41">
        <f t="shared" si="3"/>
        <v>18168.352424370842</v>
      </c>
      <c r="L229" s="41">
        <f t="shared" si="3"/>
        <v>6488253.1702806568</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1889053.19</v>
      </c>
      <c r="G233" s="18">
        <v>845519.20066971087</v>
      </c>
      <c r="H233" s="18">
        <v>20293.849999999999</v>
      </c>
      <c r="I233" s="18">
        <v>86355.08</v>
      </c>
      <c r="J233" s="18">
        <v>125829.84</v>
      </c>
      <c r="K233" s="18">
        <v>3910.75</v>
      </c>
      <c r="L233" s="19">
        <f>SUM(F233:K233)</f>
        <v>2970961.910669711</v>
      </c>
      <c r="M233" s="8"/>
      <c r="N233" s="266"/>
    </row>
    <row r="234" spans="1:14" s="3" customFormat="1" ht="12.2" customHeight="1" x14ac:dyDescent="0.15">
      <c r="A234" s="1" t="s">
        <v>439</v>
      </c>
      <c r="B234" s="2" t="s">
        <v>350</v>
      </c>
      <c r="C234" s="2" t="s">
        <v>291</v>
      </c>
      <c r="D234" s="2" t="s">
        <v>431</v>
      </c>
      <c r="E234" s="6">
        <v>1200</v>
      </c>
      <c r="F234" s="18">
        <v>522826.52417736931</v>
      </c>
      <c r="G234" s="18">
        <v>183045.02997508715</v>
      </c>
      <c r="H234" s="18">
        <v>151149.93520205902</v>
      </c>
      <c r="I234" s="18">
        <v>3672.5526801012211</v>
      </c>
      <c r="J234" s="18">
        <v>6413.92</v>
      </c>
      <c r="K234" s="18">
        <v>5496.508633408549</v>
      </c>
      <c r="L234" s="19">
        <f>SUM(F234:K234)</f>
        <v>872604.47066802531</v>
      </c>
      <c r="M234" s="8"/>
      <c r="N234" s="266"/>
    </row>
    <row r="235" spans="1:14" s="3" customFormat="1" ht="12.2" customHeight="1" x14ac:dyDescent="0.15">
      <c r="A235" s="1" t="s">
        <v>440</v>
      </c>
      <c r="B235" s="2" t="s">
        <v>350</v>
      </c>
      <c r="C235" s="2" t="s">
        <v>292</v>
      </c>
      <c r="D235" s="2" t="s">
        <v>431</v>
      </c>
      <c r="E235" s="6">
        <v>1300</v>
      </c>
      <c r="F235" s="18">
        <v>0</v>
      </c>
      <c r="G235" s="18">
        <v>0</v>
      </c>
      <c r="H235" s="18">
        <v>48535.14</v>
      </c>
      <c r="I235" s="18">
        <v>0</v>
      </c>
      <c r="J235" s="18">
        <v>0</v>
      </c>
      <c r="K235" s="18">
        <v>0</v>
      </c>
      <c r="L235" s="19">
        <f>SUM(F235:K235)</f>
        <v>48535.14</v>
      </c>
      <c r="M235" s="8"/>
      <c r="N235" s="266"/>
    </row>
    <row r="236" spans="1:14" s="3" customFormat="1" ht="12.2" customHeight="1" x14ac:dyDescent="0.15">
      <c r="A236" s="1" t="s">
        <v>441</v>
      </c>
      <c r="B236" s="2" t="s">
        <v>350</v>
      </c>
      <c r="C236" s="2" t="s">
        <v>293</v>
      </c>
      <c r="D236" s="2" t="s">
        <v>431</v>
      </c>
      <c r="E236" s="6">
        <v>1400</v>
      </c>
      <c r="F236" s="18">
        <v>244046.32</v>
      </c>
      <c r="G236" s="18">
        <v>62803.51</v>
      </c>
      <c r="H236" s="18">
        <v>60414.14</v>
      </c>
      <c r="I236" s="18">
        <v>44536.32</v>
      </c>
      <c r="J236" s="18">
        <v>1627.06</v>
      </c>
      <c r="K236" s="18">
        <v>28950.65</v>
      </c>
      <c r="L236" s="19">
        <f>SUM(F236:K236)</f>
        <v>442378.00000000006</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510557.61290715373</v>
      </c>
      <c r="G238" s="18">
        <v>192815.70007610347</v>
      </c>
      <c r="H238" s="18">
        <v>41488.489368340946</v>
      </c>
      <c r="I238" s="18">
        <v>6788.62408675799</v>
      </c>
      <c r="J238" s="18">
        <v>1408.7106773211567</v>
      </c>
      <c r="K238" s="18">
        <v>1019.76</v>
      </c>
      <c r="L238" s="19">
        <f t="shared" ref="L238:L244" si="4">SUM(F238:K238)</f>
        <v>754078.89711567736</v>
      </c>
      <c r="M238" s="8"/>
      <c r="N238" s="266"/>
    </row>
    <row r="239" spans="1:14" s="3" customFormat="1" ht="12.2" customHeight="1" x14ac:dyDescent="0.15">
      <c r="A239" s="1" t="s">
        <v>443</v>
      </c>
      <c r="B239" s="2" t="s">
        <v>350</v>
      </c>
      <c r="C239" s="2" t="s">
        <v>295</v>
      </c>
      <c r="D239" s="2" t="s">
        <v>431</v>
      </c>
      <c r="E239" s="6">
        <v>2200</v>
      </c>
      <c r="F239" s="18">
        <v>94422.908310502287</v>
      </c>
      <c r="G239" s="18">
        <v>61454.92633942161</v>
      </c>
      <c r="H239" s="18">
        <v>11994.199193302891</v>
      </c>
      <c r="I239" s="18">
        <v>46107.738013698625</v>
      </c>
      <c r="J239" s="18">
        <v>40984.854018264843</v>
      </c>
      <c r="K239" s="18">
        <v>423.29756468797564</v>
      </c>
      <c r="L239" s="19">
        <f t="shared" si="4"/>
        <v>255387.92343987821</v>
      </c>
      <c r="M239" s="8"/>
      <c r="N239" s="266"/>
    </row>
    <row r="240" spans="1:14" s="3" customFormat="1" ht="12.2" customHeight="1" x14ac:dyDescent="0.15">
      <c r="A240" s="1" t="s">
        <v>444</v>
      </c>
      <c r="B240" s="2" t="s">
        <v>350</v>
      </c>
      <c r="C240" s="2" t="s">
        <v>296</v>
      </c>
      <c r="D240" s="2" t="s">
        <v>431</v>
      </c>
      <c r="E240" s="6">
        <v>2300</v>
      </c>
      <c r="F240" s="18">
        <v>126637.92302862163</v>
      </c>
      <c r="G240" s="18">
        <v>53488.057852196696</v>
      </c>
      <c r="H240" s="18">
        <v>32930.467070190578</v>
      </c>
      <c r="I240" s="18">
        <v>1600.5887717605981</v>
      </c>
      <c r="J240" s="18">
        <v>0</v>
      </c>
      <c r="K240" s="18">
        <v>4311.0182857356012</v>
      </c>
      <c r="L240" s="19">
        <f t="shared" si="4"/>
        <v>218968.05500850512</v>
      </c>
      <c r="M240" s="8"/>
      <c r="N240" s="266"/>
    </row>
    <row r="241" spans="1:14" s="3" customFormat="1" ht="12.2" customHeight="1" x14ac:dyDescent="0.15">
      <c r="A241" s="1" t="s">
        <v>445</v>
      </c>
      <c r="B241" s="2" t="s">
        <v>350</v>
      </c>
      <c r="C241" s="2" t="s">
        <v>297</v>
      </c>
      <c r="D241" s="2" t="s">
        <v>431</v>
      </c>
      <c r="E241" s="6">
        <v>2400</v>
      </c>
      <c r="F241" s="18">
        <v>281123.65999999997</v>
      </c>
      <c r="G241" s="18">
        <v>95970.94</v>
      </c>
      <c r="H241" s="18">
        <v>10263.36</v>
      </c>
      <c r="I241" s="18">
        <v>2116.64</v>
      </c>
      <c r="J241" s="18">
        <v>1183.8</v>
      </c>
      <c r="K241" s="18">
        <v>19104.689999999999</v>
      </c>
      <c r="L241" s="19">
        <f t="shared" si="4"/>
        <v>409763.08999999997</v>
      </c>
      <c r="M241" s="8"/>
      <c r="N241" s="266"/>
    </row>
    <row r="242" spans="1:14" s="3" customFormat="1" ht="12.2" customHeight="1" x14ac:dyDescent="0.15">
      <c r="A242" s="1" t="s">
        <v>446</v>
      </c>
      <c r="B242" s="2" t="s">
        <v>350</v>
      </c>
      <c r="C242" s="2" t="s">
        <v>298</v>
      </c>
      <c r="D242" s="2" t="s">
        <v>431</v>
      </c>
      <c r="E242" s="6">
        <v>2500</v>
      </c>
      <c r="F242" s="18">
        <v>62650.184459665143</v>
      </c>
      <c r="G242" s="18">
        <v>32196.21</v>
      </c>
      <c r="H242" s="18">
        <v>18133.703508371382</v>
      </c>
      <c r="I242" s="18">
        <v>950.66218417047185</v>
      </c>
      <c r="J242" s="18">
        <v>0</v>
      </c>
      <c r="K242" s="18">
        <v>510.16210045662103</v>
      </c>
      <c r="L242" s="19">
        <f t="shared" si="4"/>
        <v>114440.92225266363</v>
      </c>
      <c r="M242" s="8"/>
      <c r="N242" s="266"/>
    </row>
    <row r="243" spans="1:14" s="3" customFormat="1" ht="12.2" customHeight="1" x14ac:dyDescent="0.15">
      <c r="A243" s="1" t="s">
        <v>447</v>
      </c>
      <c r="B243" s="2" t="s">
        <v>350</v>
      </c>
      <c r="C243" s="2" t="s">
        <v>299</v>
      </c>
      <c r="D243" s="2" t="s">
        <v>431</v>
      </c>
      <c r="E243" s="6">
        <v>2600</v>
      </c>
      <c r="F243" s="18">
        <f>26.73+19582.11+168723.3</f>
        <v>188332.13999999998</v>
      </c>
      <c r="G243" s="18">
        <f>263.23+10630.16+98654.83</f>
        <v>109548.22</v>
      </c>
      <c r="H243" s="18">
        <f>24280.94+18199.08+181144.56</f>
        <v>223624.58000000002</v>
      </c>
      <c r="I243" s="18">
        <f>3524.42+252648.56</f>
        <v>256172.98</v>
      </c>
      <c r="J243" s="18">
        <f>408.25+7067.23</f>
        <v>7475.48</v>
      </c>
      <c r="K243" s="18">
        <v>0</v>
      </c>
      <c r="L243" s="19">
        <f t="shared" si="4"/>
        <v>785153.4</v>
      </c>
      <c r="M243" s="8"/>
      <c r="N243" s="266"/>
    </row>
    <row r="244" spans="1:14" s="3" customFormat="1" ht="12.2" customHeight="1" x14ac:dyDescent="0.15">
      <c r="A244" s="1" t="s">
        <v>448</v>
      </c>
      <c r="B244" s="2" t="s">
        <v>350</v>
      </c>
      <c r="C244" s="2" t="s">
        <v>300</v>
      </c>
      <c r="D244" s="2" t="s">
        <v>431</v>
      </c>
      <c r="E244" s="6">
        <v>2700</v>
      </c>
      <c r="F244" s="18">
        <v>0</v>
      </c>
      <c r="G244" s="18">
        <v>0</v>
      </c>
      <c r="H244" s="18">
        <v>439993.34485769301</v>
      </c>
      <c r="I244" s="18">
        <v>0</v>
      </c>
      <c r="J244" s="18">
        <v>0</v>
      </c>
      <c r="K244" s="18">
        <v>0</v>
      </c>
      <c r="L244" s="19">
        <f t="shared" si="4"/>
        <v>439993.34485769301</v>
      </c>
      <c r="M244" s="8"/>
      <c r="N244" s="266"/>
    </row>
    <row r="245" spans="1:14" s="3" customFormat="1" ht="12.2" customHeight="1" x14ac:dyDescent="0.15">
      <c r="A245" s="1" t="s">
        <v>449</v>
      </c>
      <c r="B245" s="2" t="s">
        <v>350</v>
      </c>
      <c r="C245" s="2" t="s">
        <v>343</v>
      </c>
      <c r="D245" s="2" t="s">
        <v>431</v>
      </c>
      <c r="E245" s="6">
        <v>2800</v>
      </c>
      <c r="F245" s="18">
        <v>93211.693987823441</v>
      </c>
      <c r="G245" s="18">
        <v>45353.604505327239</v>
      </c>
      <c r="H245" s="18">
        <v>66724.451681887367</v>
      </c>
      <c r="I245" s="18">
        <v>15216.423523592086</v>
      </c>
      <c r="J245" s="18">
        <v>35434.186598173517</v>
      </c>
      <c r="K245" s="18">
        <v>730.11980974124822</v>
      </c>
      <c r="L245" s="19">
        <f>SUM(F245:K245)</f>
        <v>256670.48010654491</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4012862.1568711358</v>
      </c>
      <c r="G247" s="41">
        <f t="shared" si="5"/>
        <v>1682195.3994178469</v>
      </c>
      <c r="H247" s="41">
        <f t="shared" si="5"/>
        <v>1125545.660881845</v>
      </c>
      <c r="I247" s="41">
        <f t="shared" si="5"/>
        <v>463517.60926008096</v>
      </c>
      <c r="J247" s="41">
        <f t="shared" si="5"/>
        <v>220357.85129375951</v>
      </c>
      <c r="K247" s="41">
        <f t="shared" si="5"/>
        <v>64456.95639403</v>
      </c>
      <c r="L247" s="41">
        <f t="shared" si="5"/>
        <v>7568935.6341186985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f>-1486.04+5399.59</f>
        <v>3913.55</v>
      </c>
      <c r="G250" s="18">
        <f>1713.78+1358.28</f>
        <v>3072.06</v>
      </c>
      <c r="H250" s="18">
        <v>0</v>
      </c>
      <c r="I250" s="18">
        <v>0</v>
      </c>
      <c r="J250" s="18">
        <v>0</v>
      </c>
      <c r="K250" s="18">
        <v>0</v>
      </c>
      <c r="L250" s="19">
        <f t="shared" ref="L250:L255" si="6">SUM(F250:K250)</f>
        <v>6985.6100000000006</v>
      </c>
      <c r="M250" s="8"/>
      <c r="N250" s="266"/>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6"/>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6"/>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6"/>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36252</v>
      </c>
      <c r="I255" s="18">
        <v>0</v>
      </c>
      <c r="J255" s="18">
        <v>5625</v>
      </c>
      <c r="K255" s="18">
        <v>0</v>
      </c>
      <c r="L255" s="19">
        <f t="shared" si="6"/>
        <v>41877</v>
      </c>
      <c r="M255" s="8"/>
      <c r="N255" s="266"/>
    </row>
    <row r="256" spans="1:14" s="3" customFormat="1" ht="12.2" customHeight="1" thickTop="1" thickBot="1" x14ac:dyDescent="0.2">
      <c r="A256" s="38" t="s">
        <v>461</v>
      </c>
      <c r="B256" s="40">
        <v>10</v>
      </c>
      <c r="C256" s="40">
        <v>7</v>
      </c>
      <c r="D256" s="39" t="s">
        <v>431</v>
      </c>
      <c r="E256" s="40"/>
      <c r="F256" s="41">
        <f t="shared" ref="F256:K256" si="7">SUM(F250:F255)</f>
        <v>3913.55</v>
      </c>
      <c r="G256" s="41">
        <f t="shared" si="7"/>
        <v>3072.06</v>
      </c>
      <c r="H256" s="41">
        <f t="shared" si="7"/>
        <v>36252</v>
      </c>
      <c r="I256" s="41">
        <f t="shared" si="7"/>
        <v>0</v>
      </c>
      <c r="J256" s="41">
        <f t="shared" si="7"/>
        <v>5625</v>
      </c>
      <c r="K256" s="41">
        <f t="shared" si="7"/>
        <v>0</v>
      </c>
      <c r="L256" s="41">
        <f>SUM(F256:K256)</f>
        <v>48862.61</v>
      </c>
      <c r="M256" s="8"/>
      <c r="N256" s="266"/>
    </row>
    <row r="257" spans="1:14" s="3" customFormat="1" ht="12.2" customHeight="1" thickTop="1" x14ac:dyDescent="0.15">
      <c r="A257" s="38" t="s">
        <v>462</v>
      </c>
      <c r="B257" s="40">
        <v>10</v>
      </c>
      <c r="C257" s="40">
        <v>8</v>
      </c>
      <c r="D257" s="39" t="s">
        <v>431</v>
      </c>
      <c r="E257" s="40"/>
      <c r="F257" s="41">
        <f t="shared" ref="F257:L257" si="8">F211+F229+F247+F256</f>
        <v>11754270.141217656</v>
      </c>
      <c r="G257" s="41">
        <f t="shared" si="8"/>
        <v>5026835.5934550976</v>
      </c>
      <c r="H257" s="41">
        <f t="shared" si="8"/>
        <v>2978103.6599999992</v>
      </c>
      <c r="I257" s="41">
        <f t="shared" si="8"/>
        <v>1047031.2999999999</v>
      </c>
      <c r="J257" s="41">
        <f t="shared" si="8"/>
        <v>366511.35999999999</v>
      </c>
      <c r="K257" s="41">
        <f t="shared" si="8"/>
        <v>100496.31141552512</v>
      </c>
      <c r="L257" s="41">
        <f t="shared" si="8"/>
        <v>21273248.366088279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40257</v>
      </c>
      <c r="L263" s="19">
        <f>SUM(F263:K263)</f>
        <v>40257</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326726.61</v>
      </c>
      <c r="L265" s="19">
        <f t="shared" si="9"/>
        <v>326726.61</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416983.61</v>
      </c>
      <c r="L270" s="41">
        <f t="shared" si="9"/>
        <v>416983.61</v>
      </c>
      <c r="N270" s="264"/>
    </row>
    <row r="271" spans="1:14" s="3" customFormat="1" ht="12.2" customHeight="1" thickTop="1" x14ac:dyDescent="0.2">
      <c r="A271" s="43" t="s">
        <v>464</v>
      </c>
      <c r="B271" s="40">
        <v>10</v>
      </c>
      <c r="C271" s="40">
        <v>18</v>
      </c>
      <c r="D271" s="39" t="s">
        <v>431</v>
      </c>
      <c r="E271" s="40"/>
      <c r="F271" s="42">
        <f t="shared" ref="F271:L271" si="11">F257+F270</f>
        <v>11754270.141217656</v>
      </c>
      <c r="G271" s="42">
        <f t="shared" si="11"/>
        <v>5026835.5934550976</v>
      </c>
      <c r="H271" s="42">
        <f t="shared" si="11"/>
        <v>2978103.6599999992</v>
      </c>
      <c r="I271" s="42">
        <f t="shared" si="11"/>
        <v>1047031.2999999999</v>
      </c>
      <c r="J271" s="42">
        <f t="shared" si="11"/>
        <v>366511.35999999999</v>
      </c>
      <c r="K271" s="42">
        <f t="shared" si="11"/>
        <v>517479.92141552514</v>
      </c>
      <c r="L271" s="42">
        <f t="shared" si="11"/>
        <v>21690231.976088278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68803.45</v>
      </c>
      <c r="G276" s="18">
        <v>6050.3</v>
      </c>
      <c r="H276" s="18">
        <v>300</v>
      </c>
      <c r="I276" s="18">
        <v>2297.21</v>
      </c>
      <c r="J276" s="18"/>
      <c r="K276" s="18"/>
      <c r="L276" s="19">
        <f>SUM(F276:K276)</f>
        <v>77450.960000000006</v>
      </c>
      <c r="M276" s="8"/>
      <c r="N276" s="266"/>
    </row>
    <row r="277" spans="1:14" s="3" customFormat="1" ht="12.2" customHeight="1" x14ac:dyDescent="0.15">
      <c r="A277" s="1" t="s">
        <v>439</v>
      </c>
      <c r="B277" s="2" t="s">
        <v>357</v>
      </c>
      <c r="C277" s="2" t="s">
        <v>291</v>
      </c>
      <c r="D277" s="2" t="s">
        <v>431</v>
      </c>
      <c r="E277" s="6">
        <v>1200</v>
      </c>
      <c r="F277" s="18">
        <v>45078.53</v>
      </c>
      <c r="G277" s="18">
        <v>22569.58</v>
      </c>
      <c r="H277" s="18">
        <v>57.71</v>
      </c>
      <c r="I277" s="18"/>
      <c r="J277" s="18">
        <v>711.64</v>
      </c>
      <c r="K277" s="18"/>
      <c r="L277" s="19">
        <f>SUM(F277:K277)</f>
        <v>68417.460000000006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641.70000000000005</v>
      </c>
      <c r="G279" s="18"/>
      <c r="H279" s="18"/>
      <c r="I279" s="18"/>
      <c r="J279" s="18">
        <v>1799.5</v>
      </c>
      <c r="K279" s="18"/>
      <c r="L279" s="19">
        <f>SUM(F279:K279)</f>
        <v>2441.1999999999998</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460.6+26445.57+10799.61</f>
        <v>37705.78</v>
      </c>
      <c r="G281" s="18">
        <f>284.3+17113.66+855.3</f>
        <v>18253.259999999998</v>
      </c>
      <c r="H281" s="18">
        <v>51.62</v>
      </c>
      <c r="I281" s="18"/>
      <c r="J281" s="18"/>
      <c r="K281" s="18"/>
      <c r="L281" s="19">
        <f t="shared" ref="L281:L287" si="12">SUM(F281:K281)</f>
        <v>56010.659999999996</v>
      </c>
      <c r="M281" s="8"/>
      <c r="N281" s="266"/>
    </row>
    <row r="282" spans="1:14" s="3" customFormat="1" ht="12.2" customHeight="1" x14ac:dyDescent="0.15">
      <c r="A282" s="1" t="s">
        <v>443</v>
      </c>
      <c r="B282" s="2" t="s">
        <v>357</v>
      </c>
      <c r="C282" s="2" t="s">
        <v>295</v>
      </c>
      <c r="D282" s="2" t="s">
        <v>431</v>
      </c>
      <c r="E282" s="6">
        <v>2200</v>
      </c>
      <c r="F282" s="18">
        <f>1397.95+2910.15</f>
        <v>4308.1000000000004</v>
      </c>
      <c r="G282" s="18">
        <f>307.26+717.1</f>
        <v>1024.3600000000001</v>
      </c>
      <c r="H282" s="18">
        <f>8583.15+3751.98</f>
        <v>12335.13</v>
      </c>
      <c r="I282" s="18">
        <f>1485.74+716.89</f>
        <v>2202.63</v>
      </c>
      <c r="J282" s="18"/>
      <c r="K282" s="18"/>
      <c r="L282" s="19">
        <f t="shared" si="12"/>
        <v>19870.22</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39.43</v>
      </c>
      <c r="I287" s="18"/>
      <c r="J287" s="18"/>
      <c r="K287" s="18"/>
      <c r="L287" s="19">
        <f t="shared" si="12"/>
        <v>39.43</v>
      </c>
      <c r="M287" s="8"/>
      <c r="N287" s="266"/>
    </row>
    <row r="288" spans="1:14" s="3" customFormat="1" ht="12.2" customHeight="1" x14ac:dyDescent="0.15">
      <c r="A288" s="1" t="s">
        <v>449</v>
      </c>
      <c r="B288" s="2" t="s">
        <v>357</v>
      </c>
      <c r="C288" s="2" t="s">
        <v>343</v>
      </c>
      <c r="D288" s="2" t="s">
        <v>431</v>
      </c>
      <c r="E288" s="6">
        <v>2800</v>
      </c>
      <c r="F288" s="18"/>
      <c r="G288" s="18"/>
      <c r="H288" s="18">
        <v>20386.7</v>
      </c>
      <c r="I288" s="18"/>
      <c r="J288" s="18"/>
      <c r="K288" s="18"/>
      <c r="L288" s="19">
        <f>SUM(F288:K288)</f>
        <v>20386.7</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156537.56</v>
      </c>
      <c r="G290" s="42">
        <f t="shared" si="13"/>
        <v>47897.5</v>
      </c>
      <c r="H290" s="42">
        <f t="shared" si="13"/>
        <v>33170.589999999997</v>
      </c>
      <c r="I290" s="42">
        <f t="shared" si="13"/>
        <v>4499.84</v>
      </c>
      <c r="J290" s="42">
        <f t="shared" si="13"/>
        <v>2511.14</v>
      </c>
      <c r="K290" s="42">
        <f t="shared" si="13"/>
        <v>0</v>
      </c>
      <c r="L290" s="41">
        <f t="shared" si="13"/>
        <v>244616.63000000003</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v>5900</v>
      </c>
      <c r="I295" s="18"/>
      <c r="J295" s="18"/>
      <c r="K295" s="18">
        <v>4500</v>
      </c>
      <c r="L295" s="19">
        <f>SUM(F295:K295)</f>
        <v>10400</v>
      </c>
      <c r="M295" s="8"/>
      <c r="N295" s="266"/>
    </row>
    <row r="296" spans="1:14" s="3" customFormat="1" ht="12.2" customHeight="1" x14ac:dyDescent="0.15">
      <c r="A296" s="1" t="s">
        <v>439</v>
      </c>
      <c r="B296" s="2" t="s">
        <v>358</v>
      </c>
      <c r="C296" s="2" t="s">
        <v>291</v>
      </c>
      <c r="D296" s="2" t="s">
        <v>431</v>
      </c>
      <c r="E296" s="6">
        <v>1200</v>
      </c>
      <c r="F296" s="18">
        <v>24207.21</v>
      </c>
      <c r="G296" s="18">
        <v>14586.27</v>
      </c>
      <c r="H296" s="18">
        <v>38.4</v>
      </c>
      <c r="I296" s="18">
        <v>0</v>
      </c>
      <c r="J296" s="18">
        <v>473.59</v>
      </c>
      <c r="K296" s="18"/>
      <c r="L296" s="19">
        <f>SUM(F296:K296)</f>
        <v>39305.469999999994</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f>306.52+17599.23+7187.02</f>
        <v>25092.77</v>
      </c>
      <c r="G300" s="18">
        <f>189.2+11388.95+569.19</f>
        <v>12147.340000000002</v>
      </c>
      <c r="H300" s="18">
        <v>34.35</v>
      </c>
      <c r="I300" s="18"/>
      <c r="J300" s="18"/>
      <c r="K300" s="18"/>
      <c r="L300" s="19">
        <f t="shared" ref="L300:L306" si="14">SUM(F300:K300)</f>
        <v>37274.46</v>
      </c>
      <c r="M300" s="8"/>
      <c r="N300" s="266"/>
    </row>
    <row r="301" spans="1:14" s="3" customFormat="1" ht="12.2" customHeight="1" x14ac:dyDescent="0.15">
      <c r="A301" s="1" t="s">
        <v>443</v>
      </c>
      <c r="B301" s="2" t="s">
        <v>358</v>
      </c>
      <c r="C301" s="2" t="s">
        <v>295</v>
      </c>
      <c r="D301" s="2" t="s">
        <v>431</v>
      </c>
      <c r="E301" s="6">
        <v>2200</v>
      </c>
      <c r="F301" s="18">
        <f>1199.09+2496.18</f>
        <v>3695.2699999999995</v>
      </c>
      <c r="G301" s="18">
        <f>263.56+615.09</f>
        <v>878.65000000000009</v>
      </c>
      <c r="H301" s="18">
        <f>6676.85+3218.26</f>
        <v>9895.11</v>
      </c>
      <c r="I301" s="18">
        <f>1245.45+614.92</f>
        <v>1860.37</v>
      </c>
      <c r="J301" s="18"/>
      <c r="K301" s="18"/>
      <c r="L301" s="19">
        <f t="shared" si="14"/>
        <v>16329.400000000001</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v>33.82</v>
      </c>
      <c r="I306" s="18"/>
      <c r="J306" s="18"/>
      <c r="K306" s="18"/>
      <c r="L306" s="19">
        <f t="shared" si="14"/>
        <v>33.82</v>
      </c>
      <c r="M306" s="8"/>
      <c r="N306" s="266"/>
    </row>
    <row r="307" spans="1:14" s="3" customFormat="1" ht="12.2" customHeight="1" x14ac:dyDescent="0.15">
      <c r="A307" s="1" t="s">
        <v>449</v>
      </c>
      <c r="B307" s="2" t="s">
        <v>358</v>
      </c>
      <c r="C307" s="2" t="s">
        <v>343</v>
      </c>
      <c r="D307" s="2" t="s">
        <v>431</v>
      </c>
      <c r="E307" s="6">
        <v>2800</v>
      </c>
      <c r="F307" s="18"/>
      <c r="G307" s="18"/>
      <c r="H307" s="18">
        <v>17486.68</v>
      </c>
      <c r="I307" s="18"/>
      <c r="J307" s="18"/>
      <c r="K307" s="18"/>
      <c r="L307" s="19">
        <f>SUM(F307:K307)</f>
        <v>17486.68</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52995.249999999993</v>
      </c>
      <c r="G309" s="42">
        <f t="shared" si="15"/>
        <v>27612.260000000002</v>
      </c>
      <c r="H309" s="42">
        <f t="shared" si="15"/>
        <v>33388.36</v>
      </c>
      <c r="I309" s="42">
        <f t="shared" si="15"/>
        <v>1860.37</v>
      </c>
      <c r="J309" s="42">
        <f t="shared" si="15"/>
        <v>473.59</v>
      </c>
      <c r="K309" s="42">
        <f t="shared" si="15"/>
        <v>4500</v>
      </c>
      <c r="L309" s="41">
        <f t="shared" si="15"/>
        <v>120829.82999999999</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v>4283.1099999999997</v>
      </c>
      <c r="I314" s="18"/>
      <c r="J314" s="18"/>
      <c r="K314" s="18">
        <v>11864.58</v>
      </c>
      <c r="L314" s="19">
        <f>SUM(F314:K314)</f>
        <v>16147.689999999999</v>
      </c>
      <c r="M314" s="8"/>
      <c r="N314" s="266"/>
    </row>
    <row r="315" spans="1:14" s="3" customFormat="1" ht="12.2" customHeight="1" x14ac:dyDescent="0.15">
      <c r="A315" s="1" t="s">
        <v>439</v>
      </c>
      <c r="B315" s="2" t="s">
        <v>359</v>
      </c>
      <c r="C315" s="2" t="s">
        <v>291</v>
      </c>
      <c r="D315" s="2" t="s">
        <v>431</v>
      </c>
      <c r="E315" s="6">
        <v>1200</v>
      </c>
      <c r="F315" s="18">
        <v>23976.68</v>
      </c>
      <c r="G315" s="18">
        <v>14447.36</v>
      </c>
      <c r="H315" s="18">
        <v>38.04</v>
      </c>
      <c r="I315" s="18"/>
      <c r="J315" s="18">
        <v>469.08</v>
      </c>
      <c r="K315" s="18"/>
      <c r="L315" s="19">
        <f>SUM(F315:K315)</f>
        <v>38931.160000000003</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v>2340.6</v>
      </c>
      <c r="I317" s="18">
        <v>4828.01</v>
      </c>
      <c r="J317" s="18">
        <v>4737.53</v>
      </c>
      <c r="K317" s="18">
        <v>400</v>
      </c>
      <c r="L317" s="19">
        <f>SUM(F317:K317)</f>
        <v>12306.14</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f>303.6+17431.63+7118.57</f>
        <v>24853.8</v>
      </c>
      <c r="G319" s="18">
        <f>187.4+11280.49+563.77</f>
        <v>12031.66</v>
      </c>
      <c r="H319" s="18">
        <v>34.03</v>
      </c>
      <c r="I319" s="18"/>
      <c r="J319" s="18"/>
      <c r="K319" s="18"/>
      <c r="L319" s="19">
        <f t="shared" ref="L319:L325" si="16">SUM(F319:K319)</f>
        <v>36919.49</v>
      </c>
      <c r="M319" s="8"/>
      <c r="N319" s="266"/>
    </row>
    <row r="320" spans="1:14" s="3" customFormat="1" ht="12.2" customHeight="1" x14ac:dyDescent="0.15">
      <c r="A320" s="1" t="s">
        <v>443</v>
      </c>
      <c r="B320" s="2" t="s">
        <v>359</v>
      </c>
      <c r="C320" s="2" t="s">
        <v>295</v>
      </c>
      <c r="D320" s="2" t="s">
        <v>431</v>
      </c>
      <c r="E320" s="6">
        <v>2200</v>
      </c>
      <c r="F320" s="18">
        <f>1302.97+2712.43</f>
        <v>4015.3999999999996</v>
      </c>
      <c r="G320" s="18">
        <f>286.39+668.38</f>
        <v>954.77</v>
      </c>
      <c r="H320" s="18">
        <f>7027.18+3497.07</f>
        <v>10524.25</v>
      </c>
      <c r="I320" s="18">
        <f>1343.71+668.19</f>
        <v>2011.9</v>
      </c>
      <c r="J320" s="18"/>
      <c r="K320" s="18"/>
      <c r="L320" s="19">
        <f t="shared" si="16"/>
        <v>17506.32</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v>36.75</v>
      </c>
      <c r="I325" s="18"/>
      <c r="J325" s="18"/>
      <c r="K325" s="18"/>
      <c r="L325" s="19">
        <f t="shared" si="16"/>
        <v>36.75</v>
      </c>
      <c r="M325" s="8"/>
      <c r="N325" s="266"/>
    </row>
    <row r="326" spans="1:14" s="3" customFormat="1" ht="12.2" customHeight="1" x14ac:dyDescent="0.15">
      <c r="A326" s="1" t="s">
        <v>449</v>
      </c>
      <c r="B326" s="2" t="s">
        <v>359</v>
      </c>
      <c r="C326" s="2" t="s">
        <v>343</v>
      </c>
      <c r="D326" s="2" t="s">
        <v>431</v>
      </c>
      <c r="E326" s="6">
        <v>2800</v>
      </c>
      <c r="F326" s="18"/>
      <c r="G326" s="18"/>
      <c r="H326" s="18">
        <v>19001.62</v>
      </c>
      <c r="I326" s="18"/>
      <c r="J326" s="18"/>
      <c r="K326" s="18"/>
      <c r="L326" s="19">
        <f>SUM(F326:K326)</f>
        <v>19001.62</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52845.88</v>
      </c>
      <c r="G328" s="42">
        <f t="shared" si="17"/>
        <v>27433.79</v>
      </c>
      <c r="H328" s="42">
        <f t="shared" si="17"/>
        <v>36258.399999999994</v>
      </c>
      <c r="I328" s="42">
        <f t="shared" si="17"/>
        <v>6839.91</v>
      </c>
      <c r="J328" s="42">
        <f t="shared" si="17"/>
        <v>5206.6099999999997</v>
      </c>
      <c r="K328" s="42">
        <f t="shared" si="17"/>
        <v>12264.58</v>
      </c>
      <c r="L328" s="41">
        <f t="shared" si="17"/>
        <v>140849.17000000001</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f>6500+7340.93</f>
        <v>13840.93</v>
      </c>
      <c r="I336" s="18"/>
      <c r="J336" s="18"/>
      <c r="K336" s="18"/>
      <c r="L336" s="19">
        <f t="shared" si="18"/>
        <v>13840.93</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13840.93</v>
      </c>
      <c r="I337" s="41">
        <f t="shared" si="19"/>
        <v>0</v>
      </c>
      <c r="J337" s="41">
        <f t="shared" si="19"/>
        <v>0</v>
      </c>
      <c r="K337" s="41">
        <f t="shared" si="19"/>
        <v>0</v>
      </c>
      <c r="L337" s="41">
        <f t="shared" si="18"/>
        <v>13840.93</v>
      </c>
      <c r="M337" s="8"/>
      <c r="N337" s="266"/>
    </row>
    <row r="338" spans="1:43" s="3" customFormat="1" ht="12.2" customHeight="1" thickTop="1" x14ac:dyDescent="0.15">
      <c r="A338" s="38" t="s">
        <v>468</v>
      </c>
      <c r="B338" s="40">
        <v>14</v>
      </c>
      <c r="C338" s="40">
        <v>7</v>
      </c>
      <c r="D338" s="39" t="s">
        <v>431</v>
      </c>
      <c r="E338" s="40"/>
      <c r="F338" s="41">
        <f t="shared" ref="F338:L338" si="20">F290+F309+F328+F337</f>
        <v>262378.69</v>
      </c>
      <c r="G338" s="41">
        <f t="shared" si="20"/>
        <v>102943.55000000002</v>
      </c>
      <c r="H338" s="41">
        <f t="shared" si="20"/>
        <v>116658.28</v>
      </c>
      <c r="I338" s="41">
        <f t="shared" si="20"/>
        <v>13200.119999999999</v>
      </c>
      <c r="J338" s="41">
        <f t="shared" si="20"/>
        <v>8191.34</v>
      </c>
      <c r="K338" s="41">
        <f t="shared" si="20"/>
        <v>16764.580000000002</v>
      </c>
      <c r="L338" s="41">
        <f t="shared" si="20"/>
        <v>520136.56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262378.69</v>
      </c>
      <c r="G352" s="41">
        <f>G338</f>
        <v>102943.55000000002</v>
      </c>
      <c r="H352" s="41">
        <f>H338</f>
        <v>116658.28</v>
      </c>
      <c r="I352" s="41">
        <f>I338</f>
        <v>13200.119999999999</v>
      </c>
      <c r="J352" s="41">
        <f>J338</f>
        <v>8191.34</v>
      </c>
      <c r="K352" s="47">
        <f>K338+K351</f>
        <v>16764.580000000002</v>
      </c>
      <c r="L352" s="41">
        <f>L338+L351</f>
        <v>520136.56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17922.37+304.74+2139.03+50320.12</f>
        <v>70686.260000000009</v>
      </c>
      <c r="G358" s="18">
        <f>21.79+0.81+3074.63+184.72+52.33+124.14+1486.55+2039.6+95.68+53.77+45+34.86+3849.56+2635.26+1112.74</f>
        <v>14811.44</v>
      </c>
      <c r="H358" s="18">
        <f>917+574.95</f>
        <v>1491.95</v>
      </c>
      <c r="I358" s="18">
        <f>5096.05+26.14+4933.71+37950.74</f>
        <v>48006.64</v>
      </c>
      <c r="J358" s="18">
        <v>0</v>
      </c>
      <c r="K358" s="18">
        <f>46.42+1792.24+200+252.32</f>
        <v>2290.98</v>
      </c>
      <c r="L358" s="13">
        <f>SUM(F358:K358)</f>
        <v>137287.27000000002</v>
      </c>
      <c r="N358" s="264"/>
      <c r="R358" s="3"/>
      <c r="S358" s="3"/>
      <c r="T358" s="3"/>
      <c r="U358" s="3"/>
      <c r="V358" s="3"/>
    </row>
    <row r="359" spans="1:22" s="3" customFormat="1" ht="12.2" customHeight="1" x14ac:dyDescent="0.15">
      <c r="A359" s="1" t="s">
        <v>542</v>
      </c>
      <c r="B359" s="2" t="s">
        <v>366</v>
      </c>
      <c r="C359" s="6">
        <v>2</v>
      </c>
      <c r="D359" s="2" t="s">
        <v>431</v>
      </c>
      <c r="E359" s="6"/>
      <c r="F359" s="18">
        <f>261.39+15372.91+1834.76-0.01+50819.86</f>
        <v>68288.91</v>
      </c>
      <c r="G359" s="18">
        <f>18.69+0.7+2637.27+158.44+44.89+106.48+1275.08+1749.46+82.07+46.12+17499.93+1141.38+45+14+3454.56+2394.01+1123.33</f>
        <v>31791.410000000003</v>
      </c>
      <c r="H359" s="18">
        <f>4338.25+493.16</f>
        <v>4831.41</v>
      </c>
      <c r="I359" s="18">
        <f>22.42+4371.13+8125.46+71101.79</f>
        <v>83620.799999999988</v>
      </c>
      <c r="J359" s="18">
        <v>0</v>
      </c>
      <c r="K359" s="18">
        <f>39.82+1537.29+200+284.23</f>
        <v>2061.34</v>
      </c>
      <c r="L359" s="19">
        <f>SUM(F359:K359)</f>
        <v>190593.87</v>
      </c>
      <c r="M359" s="8"/>
      <c r="N359" s="266"/>
    </row>
    <row r="360" spans="1:22" s="3" customFormat="1" ht="12.2" customHeight="1" x14ac:dyDescent="0.15">
      <c r="A360" s="3" t="s">
        <v>543</v>
      </c>
      <c r="B360" s="2" t="s">
        <v>366</v>
      </c>
      <c r="C360" s="6">
        <v>3</v>
      </c>
      <c r="D360" s="2" t="s">
        <v>431</v>
      </c>
      <c r="E360" s="6"/>
      <c r="F360" s="18">
        <f>284.03+16704.72+1993.71-0.01+48912.35</f>
        <v>67894.8</v>
      </c>
      <c r="G360" s="18">
        <f>20.31+0.76+2865.74+172.17+48.78+115.7+1385.55+1901.03+89.18+50.11-0.01+19462.99+1346.26+55.5+39.92+3471.1+1532.33+1081.65+152.95</f>
        <v>33792.019999999997</v>
      </c>
      <c r="H360" s="18">
        <f>358.21+535.89</f>
        <v>894.09999999999991</v>
      </c>
      <c r="I360" s="18">
        <f>24.37+4749.82+7633.63+91861.92</f>
        <v>104269.73999999999</v>
      </c>
      <c r="J360" s="18">
        <v>0</v>
      </c>
      <c r="K360" s="18">
        <f>43.27+1670.47+245.5+219.98</f>
        <v>2179.2199999999998</v>
      </c>
      <c r="L360" s="19">
        <f>SUM(F360:K360)</f>
        <v>209029.88</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206869.97000000003</v>
      </c>
      <c r="G362" s="47">
        <f t="shared" si="22"/>
        <v>80394.87</v>
      </c>
      <c r="H362" s="47">
        <f t="shared" si="22"/>
        <v>7217.4599999999991</v>
      </c>
      <c r="I362" s="47">
        <f t="shared" si="22"/>
        <v>235897.18</v>
      </c>
      <c r="J362" s="47">
        <f t="shared" si="22"/>
        <v>0</v>
      </c>
      <c r="K362" s="47">
        <f t="shared" si="22"/>
        <v>6531.5399999999991</v>
      </c>
      <c r="L362" s="47">
        <f t="shared" si="22"/>
        <v>536911.02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43046.79</v>
      </c>
      <c r="G367" s="18">
        <v>75472.92</v>
      </c>
      <c r="H367" s="18">
        <v>96611.74</v>
      </c>
      <c r="I367" s="56">
        <f>SUM(F367:H367)</f>
        <v>215131.45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-6.3+4959.85</f>
        <v>4953.55</v>
      </c>
      <c r="G368" s="63">
        <f>-6.3+8147.88</f>
        <v>8141.58</v>
      </c>
      <c r="H368" s="63">
        <f>-6.3+7676.9</f>
        <v>7670.5999999999995</v>
      </c>
      <c r="I368" s="56">
        <f>SUM(F368:H368)</f>
        <v>20765.73</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48000.340000000004</v>
      </c>
      <c r="G369" s="47">
        <f>SUM(G367:G368)</f>
        <v>83614.5</v>
      </c>
      <c r="H369" s="47">
        <f>SUM(H367:H368)</f>
        <v>104282.34000000001</v>
      </c>
      <c r="I369" s="47">
        <f>SUM(I367:I368)</f>
        <v>235897.18000000002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103358.3</v>
      </c>
      <c r="I379" s="18"/>
      <c r="J379" s="18">
        <f>37220+5880+250777.5</f>
        <v>293877.5</v>
      </c>
      <c r="K379" s="18"/>
      <c r="L379" s="13">
        <f t="shared" si="23"/>
        <v>397235.8</v>
      </c>
      <c r="M379" s="8"/>
      <c r="N379" s="266"/>
    </row>
    <row r="380" spans="1:14" s="3" customFormat="1" ht="12.2" customHeight="1" x14ac:dyDescent="0.15">
      <c r="A380" s="1" t="s">
        <v>510</v>
      </c>
      <c r="B380" s="2" t="s">
        <v>366</v>
      </c>
      <c r="C380" s="2" t="s">
        <v>347</v>
      </c>
      <c r="D380" s="2" t="s">
        <v>431</v>
      </c>
      <c r="E380" s="6">
        <v>4900</v>
      </c>
      <c r="F380" s="18"/>
      <c r="G380" s="18"/>
      <c r="H380" s="18"/>
      <c r="I380" s="18">
        <v>165.68</v>
      </c>
      <c r="J380" s="18">
        <f>21763.49+25976.27</f>
        <v>47739.76</v>
      </c>
      <c r="K380" s="18"/>
      <c r="L380" s="13">
        <f t="shared" si="23"/>
        <v>47905.440000000002</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1738</v>
      </c>
      <c r="L381" s="13">
        <f t="shared" si="23"/>
        <v>1738</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103358.3</v>
      </c>
      <c r="I382" s="41">
        <f t="shared" si="24"/>
        <v>165.68</v>
      </c>
      <c r="J382" s="47">
        <f t="shared" si="24"/>
        <v>341617.26</v>
      </c>
      <c r="K382" s="47">
        <f t="shared" si="24"/>
        <v>1738</v>
      </c>
      <c r="L382" s="47">
        <f t="shared" si="24"/>
        <v>446879.24</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f>59235.61-7497.61</f>
        <v>51738</v>
      </c>
      <c r="H392" s="18">
        <v>2303.14</v>
      </c>
      <c r="I392" s="18"/>
      <c r="J392" s="24" t="s">
        <v>288</v>
      </c>
      <c r="K392" s="24" t="s">
        <v>288</v>
      </c>
      <c r="L392" s="56">
        <f t="shared" si="25"/>
        <v>54041.14</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51738</v>
      </c>
      <c r="H393" s="139">
        <f>SUM(H387:H392)</f>
        <v>2303.14</v>
      </c>
      <c r="I393" s="65">
        <f>SUM(I387:I392)</f>
        <v>0</v>
      </c>
      <c r="J393" s="45" t="s">
        <v>288</v>
      </c>
      <c r="K393" s="45" t="s">
        <v>288</v>
      </c>
      <c r="L393" s="47">
        <f>SUM(L387:L392)</f>
        <v>54041.14</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1333.63</v>
      </c>
      <c r="I397" s="18"/>
      <c r="J397" s="24" t="s">
        <v>288</v>
      </c>
      <c r="K397" s="24" t="s">
        <v>288</v>
      </c>
      <c r="L397" s="56">
        <f t="shared" si="26"/>
        <v>1333.63</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v>955.68</v>
      </c>
      <c r="I399" s="18"/>
      <c r="J399" s="24" t="s">
        <v>288</v>
      </c>
      <c r="K399" s="24" t="s">
        <v>288</v>
      </c>
      <c r="L399" s="56">
        <f t="shared" si="26"/>
        <v>955.68</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2289.31</v>
      </c>
      <c r="I401" s="47">
        <f>SUM(I395:I400)</f>
        <v>0</v>
      </c>
      <c r="J401" s="45" t="s">
        <v>288</v>
      </c>
      <c r="K401" s="45" t="s">
        <v>288</v>
      </c>
      <c r="L401" s="47">
        <f>SUM(L395:L400)</f>
        <v>2289.31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51738</v>
      </c>
      <c r="H408" s="47">
        <f>H393+H401+H407</f>
        <v>4592.45</v>
      </c>
      <c r="I408" s="47">
        <f>I393+I401+I407</f>
        <v>0</v>
      </c>
      <c r="J408" s="24" t="s">
        <v>288</v>
      </c>
      <c r="K408" s="24" t="s">
        <v>288</v>
      </c>
      <c r="L408" s="47">
        <f>L393+L401+L407</f>
        <v>56330.45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1738</v>
      </c>
      <c r="G441" s="18"/>
      <c r="H441" s="18"/>
      <c r="I441" s="56">
        <f t="shared" si="33"/>
        <v>1738</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368818.91</v>
      </c>
      <c r="G442" s="18"/>
      <c r="H442" s="18"/>
      <c r="I442" s="56">
        <f t="shared" si="33"/>
        <v>368818.91</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370556.91</v>
      </c>
      <c r="G446" s="13">
        <f>SUM(G439:G445)</f>
        <v>0</v>
      </c>
      <c r="H446" s="13">
        <f>SUM(H439:H445)</f>
        <v>0</v>
      </c>
      <c r="I446" s="13">
        <f>SUM(I439:I445)</f>
        <v>370556.91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370556.91</v>
      </c>
      <c r="G459" s="18"/>
      <c r="H459" s="18"/>
      <c r="I459" s="56">
        <f t="shared" si="34"/>
        <v>370556.91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370556.91</v>
      </c>
      <c r="G460" s="83">
        <f>SUM(G454:G459)</f>
        <v>0</v>
      </c>
      <c r="H460" s="83">
        <f>SUM(H454:H459)</f>
        <v>0</v>
      </c>
      <c r="I460" s="83">
        <f>SUM(I454:I459)</f>
        <v>370556.91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370556.91</v>
      </c>
      <c r="G461" s="42">
        <f>G452+G460</f>
        <v>0</v>
      </c>
      <c r="H461" s="42">
        <f>H452+H460</f>
        <v>0</v>
      </c>
      <c r="I461" s="42">
        <f>I452+I460</f>
        <v>370556.91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975422.2</v>
      </c>
      <c r="G465" s="18">
        <v>44580.55</v>
      </c>
      <c r="H465" s="18">
        <v>0</v>
      </c>
      <c r="I465" s="18">
        <v>-91234.87</v>
      </c>
      <c r="J465" s="18">
        <v>314226.46000000002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21160934.399999999</v>
      </c>
      <c r="G468" s="18">
        <f>G193</f>
        <v>492330.47</v>
      </c>
      <c r="H468" s="18">
        <f>H193</f>
        <v>520136.56</v>
      </c>
      <c r="I468" s="18">
        <f>I193</f>
        <v>538114.11</v>
      </c>
      <c r="J468" s="18">
        <f>4592.45+51738</f>
        <v>56330.45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21160934.399999999</v>
      </c>
      <c r="G470" s="53">
        <f>SUM(G468:G469)</f>
        <v>492330.47</v>
      </c>
      <c r="H470" s="53">
        <f>SUM(H468:H469)</f>
        <v>520136.56</v>
      </c>
      <c r="I470" s="53">
        <f>SUM(I468:I469)</f>
        <v>538114.11</v>
      </c>
      <c r="J470" s="53">
        <f>SUM(J468:J469)</f>
        <v>56330.45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21690231.976088278</v>
      </c>
      <c r="G472" s="18">
        <f>L362</f>
        <v>536911.02</v>
      </c>
      <c r="H472" s="18">
        <f>L352</f>
        <v>520136.56</v>
      </c>
      <c r="I472" s="18">
        <f>L382</f>
        <v>446879.24</v>
      </c>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21690231.976088278</v>
      </c>
      <c r="G474" s="53">
        <f>SUM(G472:G473)</f>
        <v>536911.02</v>
      </c>
      <c r="H474" s="53">
        <f>SUM(H472:H473)</f>
        <v>520136.56</v>
      </c>
      <c r="I474" s="53">
        <f>SUM(I472:I473)</f>
        <v>446879.24</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446124.62391171977</v>
      </c>
      <c r="G476" s="53">
        <f>(G465+G470)- G474</f>
        <v>0</v>
      </c>
      <c r="H476" s="53">
        <f>(H465+H470)- H474</f>
        <v>0</v>
      </c>
      <c r="I476" s="53">
        <f>(I465+I470)- I474</f>
        <v>0</v>
      </c>
      <c r="J476" s="53">
        <f>(J465+J470)- J474</f>
        <v>370556.91000000003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32884.3+45078.53+800726.93</f>
        <v>878689.76</v>
      </c>
      <c r="G521" s="18">
        <f>6106.22+22569.58+212404.6</f>
        <v>241080.40000000002</v>
      </c>
      <c r="H521" s="18">
        <f>229059.25-1363.22+57.51+697.67</f>
        <v>228451.21000000002</v>
      </c>
      <c r="I521" s="18">
        <v>8623.9500000000007</v>
      </c>
      <c r="J521" s="18">
        <f>8062.14+711.64</f>
        <v>8773.7800000000007</v>
      </c>
      <c r="K521" s="18">
        <f>647.5+6703.79</f>
        <v>7351.29</v>
      </c>
      <c r="L521" s="88">
        <f>SUM(F521:K521)</f>
        <v>1372970.3900000001</v>
      </c>
      <c r="N521" s="265"/>
    </row>
    <row r="522" spans="1:14" s="52" customFormat="1" ht="12.2" customHeight="1" x14ac:dyDescent="0.2">
      <c r="A522" s="22" t="s">
        <v>634</v>
      </c>
      <c r="B522" s="105">
        <v>21</v>
      </c>
      <c r="C522" s="115">
        <v>2</v>
      </c>
      <c r="D522" s="2" t="s">
        <v>432</v>
      </c>
      <c r="E522" s="115"/>
      <c r="F522" s="18">
        <f>21884.13+24207.22+563656.73</f>
        <v>609748.07999999996</v>
      </c>
      <c r="G522" s="18">
        <f>4063.62+14586.28+116924.86</f>
        <v>135574.76</v>
      </c>
      <c r="H522" s="18">
        <f>152436.36-907.21+38.4+51.07</f>
        <v>151618.62</v>
      </c>
      <c r="I522" s="18">
        <v>1958.83</v>
      </c>
      <c r="J522" s="18">
        <f>473.59+0</f>
        <v>473.59</v>
      </c>
      <c r="K522" s="18">
        <f>3635.76+4461.29</f>
        <v>8097.05</v>
      </c>
      <c r="L522" s="88">
        <f>SUM(F522:K522)</f>
        <v>907470.92999999993</v>
      </c>
      <c r="N522" s="265"/>
    </row>
    <row r="523" spans="1:14" s="52" customFormat="1" ht="12.2" customHeight="1" thickBot="1" x14ac:dyDescent="0.25">
      <c r="A523" s="22" t="s">
        <v>635</v>
      </c>
      <c r="B523" s="105">
        <v>21</v>
      </c>
      <c r="C523" s="115">
        <v>3</v>
      </c>
      <c r="D523" s="2" t="s">
        <v>432</v>
      </c>
      <c r="E523" s="115"/>
      <c r="F523" s="18">
        <f>21675.72+23976.69+490281.06</f>
        <v>535933.47</v>
      </c>
      <c r="G523" s="18">
        <f>4024.92+14447.37+178158.54</f>
        <v>196630.83000000002</v>
      </c>
      <c r="H523" s="18">
        <f>150984.67-898.57+38.04+165.27</f>
        <v>150289.41</v>
      </c>
      <c r="I523" s="18">
        <v>3594.64</v>
      </c>
      <c r="J523" s="18">
        <f>6413.92+469.08</f>
        <v>6883</v>
      </c>
      <c r="K523" s="18">
        <f>1077.7+4418.81</f>
        <v>5496.51</v>
      </c>
      <c r="L523" s="88">
        <f>SUM(F523:K523)</f>
        <v>898827.8600000001</v>
      </c>
      <c r="N523" s="265"/>
    </row>
    <row r="524" spans="1:14" s="52" customFormat="1" ht="12.2" customHeight="1" thickTop="1" x14ac:dyDescent="0.2">
      <c r="A524" s="139" t="s">
        <v>63</v>
      </c>
      <c r="B524" s="107">
        <v>21</v>
      </c>
      <c r="C524" s="195">
        <v>4</v>
      </c>
      <c r="D524" s="196" t="s">
        <v>432</v>
      </c>
      <c r="E524" s="195"/>
      <c r="F524" s="108">
        <f>SUM(F521:F523)</f>
        <v>2024371.3099999998</v>
      </c>
      <c r="G524" s="108">
        <f t="shared" ref="G524:L524" si="36">SUM(G521:G523)</f>
        <v>573285.99</v>
      </c>
      <c r="H524" s="108">
        <f t="shared" si="36"/>
        <v>530359.24</v>
      </c>
      <c r="I524" s="108">
        <f t="shared" si="36"/>
        <v>14177.42</v>
      </c>
      <c r="J524" s="108">
        <f t="shared" si="36"/>
        <v>16130.37</v>
      </c>
      <c r="K524" s="108">
        <f t="shared" si="36"/>
        <v>20944.849999999999</v>
      </c>
      <c r="L524" s="89">
        <f t="shared" si="36"/>
        <v>3179269.1800000006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37705.77+170831.5</f>
        <v>208537.27</v>
      </c>
      <c r="G526" s="18">
        <f>18253.26+72202.77</f>
        <v>90456.03</v>
      </c>
      <c r="H526" s="18">
        <f>3616.28+20514.89</f>
        <v>24131.17</v>
      </c>
      <c r="I526" s="18">
        <f>150.56+1876.51</f>
        <v>2027.07</v>
      </c>
      <c r="J526" s="18">
        <v>430.5</v>
      </c>
      <c r="K526" s="18"/>
      <c r="L526" s="88">
        <f>SUM(F526:K526)</f>
        <v>325582.03999999998</v>
      </c>
      <c r="M526" s="8"/>
      <c r="N526" s="266"/>
    </row>
    <row r="527" spans="1:14" s="3" customFormat="1" ht="12.2" customHeight="1" x14ac:dyDescent="0.15">
      <c r="A527" s="22" t="s">
        <v>634</v>
      </c>
      <c r="B527" s="105">
        <v>21</v>
      </c>
      <c r="C527" s="115">
        <v>6</v>
      </c>
      <c r="D527" s="2" t="s">
        <v>432</v>
      </c>
      <c r="E527" s="115"/>
      <c r="F527" s="18">
        <f>25092.77+146530.63</f>
        <v>171623.4</v>
      </c>
      <c r="G527" s="18">
        <f>12147.34+61931.88</f>
        <v>74079.22</v>
      </c>
      <c r="H527" s="18">
        <f>2256.64+17596.64</f>
        <v>19853.28</v>
      </c>
      <c r="I527" s="18">
        <f>100.2+1609.57</f>
        <v>1709.77</v>
      </c>
      <c r="J527" s="18">
        <v>369.26</v>
      </c>
      <c r="K527" s="18"/>
      <c r="L527" s="88">
        <f>SUM(F527:K527)</f>
        <v>267634.93000000005</v>
      </c>
      <c r="M527" s="8"/>
      <c r="N527" s="266"/>
    </row>
    <row r="528" spans="1:14" s="3" customFormat="1" ht="12.2" customHeight="1" thickBot="1" x14ac:dyDescent="0.2">
      <c r="A528" s="22" t="s">
        <v>635</v>
      </c>
      <c r="B528" s="118">
        <v>21</v>
      </c>
      <c r="C528" s="118">
        <v>7</v>
      </c>
      <c r="D528" s="2" t="s">
        <v>432</v>
      </c>
      <c r="E528" s="118"/>
      <c r="F528" s="18">
        <f>24853.8+159225.11</f>
        <v>184078.90999999997</v>
      </c>
      <c r="G528" s="18">
        <f>12031.66+67297.27</f>
        <v>79328.930000000008</v>
      </c>
      <c r="H528" s="18">
        <f>19121.1+2383.68</f>
        <v>21504.78</v>
      </c>
      <c r="I528" s="18">
        <f>99.24+1749.01</f>
        <v>1848.25</v>
      </c>
      <c r="J528" s="18">
        <v>401.25</v>
      </c>
      <c r="K528" s="18"/>
      <c r="L528" s="88">
        <f>SUM(F528:K528)</f>
        <v>287162.12</v>
      </c>
      <c r="M528" s="8"/>
      <c r="N528" s="266"/>
    </row>
    <row r="529" spans="1:14" s="3" customFormat="1" ht="12.2" customHeight="1" thickTop="1" x14ac:dyDescent="0.15">
      <c r="A529" s="139" t="s">
        <v>65</v>
      </c>
      <c r="B529" s="107">
        <v>21</v>
      </c>
      <c r="C529" s="107">
        <v>8</v>
      </c>
      <c r="D529" s="158" t="s">
        <v>432</v>
      </c>
      <c r="E529" s="107"/>
      <c r="F529" s="89">
        <f>SUM(F526:F528)</f>
        <v>564239.57999999996</v>
      </c>
      <c r="G529" s="89">
        <f t="shared" ref="G529:L529" si="37">SUM(G526:G528)</f>
        <v>243864.18</v>
      </c>
      <c r="H529" s="89">
        <f t="shared" si="37"/>
        <v>65489.229999999996</v>
      </c>
      <c r="I529" s="89">
        <f t="shared" si="37"/>
        <v>5585.09</v>
      </c>
      <c r="J529" s="89">
        <f t="shared" si="37"/>
        <v>1201.01</v>
      </c>
      <c r="K529" s="89">
        <f t="shared" si="37"/>
        <v>0</v>
      </c>
      <c r="L529" s="89">
        <f t="shared" si="37"/>
        <v>880379.09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63679.69</v>
      </c>
      <c r="G531" s="18">
        <v>26691.47</v>
      </c>
      <c r="H531" s="18">
        <v>1395.9</v>
      </c>
      <c r="I531" s="18">
        <v>242.29</v>
      </c>
      <c r="J531" s="18"/>
      <c r="K531" s="18">
        <v>579.44000000000005</v>
      </c>
      <c r="L531" s="88">
        <f>SUM(F531:K531)</f>
        <v>92588.79</v>
      </c>
      <c r="M531" s="8"/>
      <c r="N531" s="266"/>
    </row>
    <row r="532" spans="1:14" s="3" customFormat="1" ht="12.2" customHeight="1" x14ac:dyDescent="0.15">
      <c r="A532" s="22" t="s">
        <v>634</v>
      </c>
      <c r="B532" s="105">
        <v>21</v>
      </c>
      <c r="C532" s="105">
        <v>10</v>
      </c>
      <c r="D532" s="2" t="s">
        <v>432</v>
      </c>
      <c r="E532" s="105"/>
      <c r="F532" s="18">
        <v>42378.12</v>
      </c>
      <c r="G532" s="18">
        <v>17762.87</v>
      </c>
      <c r="H532" s="18">
        <v>928.96</v>
      </c>
      <c r="I532" s="18">
        <v>161.24</v>
      </c>
      <c r="J532" s="18"/>
      <c r="K532" s="18">
        <v>385.61</v>
      </c>
      <c r="L532" s="88">
        <f>SUM(F532:K532)</f>
        <v>61616.800000000003</v>
      </c>
      <c r="M532" s="8"/>
      <c r="N532" s="266"/>
    </row>
    <row r="533" spans="1:14" s="3" customFormat="1" ht="12.2" customHeight="1" thickBot="1" x14ac:dyDescent="0.2">
      <c r="A533" s="22" t="s">
        <v>635</v>
      </c>
      <c r="B533" s="105">
        <v>21</v>
      </c>
      <c r="C533" s="105">
        <v>11</v>
      </c>
      <c r="D533" s="2" t="s">
        <v>432</v>
      </c>
      <c r="E533" s="105"/>
      <c r="F533" s="18">
        <v>41974.54</v>
      </c>
      <c r="G533" s="18">
        <v>17593.72</v>
      </c>
      <c r="H533" s="18">
        <v>920.11</v>
      </c>
      <c r="I533" s="18">
        <v>159.71</v>
      </c>
      <c r="J533" s="18"/>
      <c r="K533" s="18">
        <v>381.94</v>
      </c>
      <c r="L533" s="88">
        <f>SUM(F533:K533)</f>
        <v>61030.020000000004</v>
      </c>
      <c r="M533" s="8"/>
      <c r="N533" s="266"/>
    </row>
    <row r="534" spans="1:14" s="3" customFormat="1" ht="12.2" customHeight="1" thickTop="1" x14ac:dyDescent="0.15">
      <c r="A534" s="139" t="s">
        <v>67</v>
      </c>
      <c r="B534" s="107">
        <v>21</v>
      </c>
      <c r="C534" s="107">
        <v>12</v>
      </c>
      <c r="D534" s="158" t="s">
        <v>432</v>
      </c>
      <c r="E534" s="107"/>
      <c r="F534" s="89">
        <f>SUM(F531:F533)</f>
        <v>148032.35</v>
      </c>
      <c r="G534" s="89">
        <f t="shared" ref="G534:L534" si="38">SUM(G531:G533)</f>
        <v>62048.06</v>
      </c>
      <c r="H534" s="89">
        <f t="shared" si="38"/>
        <v>3244.9700000000003</v>
      </c>
      <c r="I534" s="89">
        <f t="shared" si="38"/>
        <v>563.24</v>
      </c>
      <c r="J534" s="89">
        <f t="shared" si="38"/>
        <v>0</v>
      </c>
      <c r="K534" s="89">
        <f t="shared" si="38"/>
        <v>1346.99</v>
      </c>
      <c r="L534" s="89">
        <f t="shared" si="38"/>
        <v>215235.61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1363.22</v>
      </c>
      <c r="I536" s="18"/>
      <c r="J536" s="18"/>
      <c r="K536" s="18"/>
      <c r="L536" s="88">
        <f>SUM(F536:K536)</f>
        <v>1363.22</v>
      </c>
      <c r="M536" s="8"/>
      <c r="N536" s="266"/>
    </row>
    <row r="537" spans="1:14" s="3" customFormat="1" ht="12.2" customHeight="1" x14ac:dyDescent="0.15">
      <c r="A537" s="22" t="s">
        <v>634</v>
      </c>
      <c r="B537" s="105">
        <v>21</v>
      </c>
      <c r="C537" s="105">
        <v>14</v>
      </c>
      <c r="D537" s="2" t="s">
        <v>432</v>
      </c>
      <c r="E537" s="105"/>
      <c r="F537" s="18"/>
      <c r="G537" s="18"/>
      <c r="H537" s="18">
        <v>907.21</v>
      </c>
      <c r="I537" s="18"/>
      <c r="J537" s="18"/>
      <c r="K537" s="18"/>
      <c r="L537" s="88">
        <f>SUM(F537:K537)</f>
        <v>907.21</v>
      </c>
      <c r="M537" s="8"/>
      <c r="N537" s="266"/>
    </row>
    <row r="538" spans="1:14" s="3" customFormat="1" ht="12.2" customHeight="1" thickBot="1" x14ac:dyDescent="0.2">
      <c r="A538" s="22" t="s">
        <v>635</v>
      </c>
      <c r="B538" s="105">
        <v>21</v>
      </c>
      <c r="C538" s="105">
        <v>15</v>
      </c>
      <c r="D538" s="2" t="s">
        <v>432</v>
      </c>
      <c r="E538" s="105"/>
      <c r="F538" s="18"/>
      <c r="G538" s="18"/>
      <c r="H538" s="18">
        <v>898.57</v>
      </c>
      <c r="I538" s="18"/>
      <c r="J538" s="18"/>
      <c r="K538" s="18"/>
      <c r="L538" s="88">
        <f>SUM(F538:K538)</f>
        <v>898.57</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3169.0000000000005</v>
      </c>
      <c r="I539" s="89">
        <f t="shared" si="39"/>
        <v>0</v>
      </c>
      <c r="J539" s="89">
        <f t="shared" si="39"/>
        <v>0</v>
      </c>
      <c r="K539" s="89">
        <f t="shared" si="39"/>
        <v>0</v>
      </c>
      <c r="L539" s="89">
        <f t="shared" si="39"/>
        <v>3169.0000000000005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194580.11</v>
      </c>
      <c r="I541" s="18"/>
      <c r="J541" s="18"/>
      <c r="K541" s="18"/>
      <c r="L541" s="88">
        <f>SUM(F541:K541)</f>
        <v>194580.11</v>
      </c>
      <c r="M541" s="8"/>
      <c r="N541" s="266"/>
    </row>
    <row r="542" spans="1:14" s="3" customFormat="1" ht="12.2" customHeight="1" x14ac:dyDescent="0.15">
      <c r="A542" s="22" t="s">
        <v>634</v>
      </c>
      <c r="B542" s="105">
        <v>21</v>
      </c>
      <c r="C542" s="105">
        <v>18</v>
      </c>
      <c r="D542" s="2" t="s">
        <v>432</v>
      </c>
      <c r="E542" s="105"/>
      <c r="F542" s="18"/>
      <c r="G542" s="18"/>
      <c r="H542" s="18">
        <v>129490.88</v>
      </c>
      <c r="I542" s="18"/>
      <c r="J542" s="18"/>
      <c r="K542" s="18"/>
      <c r="L542" s="88">
        <f>SUM(F542:K542)</f>
        <v>129490.88</v>
      </c>
      <c r="M542" s="8"/>
      <c r="N542" s="266"/>
    </row>
    <row r="543" spans="1:14" s="3" customFormat="1" ht="12.2" customHeight="1" thickBot="1" x14ac:dyDescent="0.2">
      <c r="A543" s="22" t="s">
        <v>635</v>
      </c>
      <c r="B543" s="105">
        <v>21</v>
      </c>
      <c r="C543" s="105">
        <v>19</v>
      </c>
      <c r="D543" s="2" t="s">
        <v>432</v>
      </c>
      <c r="E543" s="105"/>
      <c r="F543" s="18"/>
      <c r="G543" s="18"/>
      <c r="H543" s="18">
        <v>128257.7</v>
      </c>
      <c r="I543" s="18"/>
      <c r="J543" s="18"/>
      <c r="K543" s="18"/>
      <c r="L543" s="88">
        <f>SUM(F543:K543)</f>
        <v>128257.7</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452328.69</v>
      </c>
      <c r="I544" s="193">
        <f t="shared" si="40"/>
        <v>0</v>
      </c>
      <c r="J544" s="193">
        <f t="shared" si="40"/>
        <v>0</v>
      </c>
      <c r="K544" s="193">
        <f t="shared" si="40"/>
        <v>0</v>
      </c>
      <c r="L544" s="193">
        <f t="shared" si="40"/>
        <v>452328.69</v>
      </c>
      <c r="M544" s="8"/>
      <c r="N544" s="266"/>
    </row>
    <row r="545" spans="1:14" s="3" customFormat="1" ht="12.2" customHeight="1" thickTop="1" x14ac:dyDescent="0.15">
      <c r="A545" s="98" t="s">
        <v>72</v>
      </c>
      <c r="B545" s="107">
        <v>21</v>
      </c>
      <c r="C545" s="107">
        <v>21</v>
      </c>
      <c r="D545" s="158" t="s">
        <v>432</v>
      </c>
      <c r="E545" s="107"/>
      <c r="F545" s="89">
        <f>F524+F529+F534+F539+F544</f>
        <v>2736643.2399999998</v>
      </c>
      <c r="G545" s="89">
        <f t="shared" ref="G545:L545" si="41">G524+G529+G534+G539+G544</f>
        <v>879198.23</v>
      </c>
      <c r="H545" s="89">
        <f t="shared" si="41"/>
        <v>1054591.1299999999</v>
      </c>
      <c r="I545" s="89">
        <f t="shared" si="41"/>
        <v>20325.750000000004</v>
      </c>
      <c r="J545" s="89">
        <f t="shared" si="41"/>
        <v>17331.38</v>
      </c>
      <c r="K545" s="89">
        <f t="shared" si="41"/>
        <v>22291.84</v>
      </c>
      <c r="L545" s="89">
        <f t="shared" si="41"/>
        <v>4730381.5700000012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1372970.3900000001</v>
      </c>
      <c r="G549" s="87">
        <f>L526</f>
        <v>325582.03999999998</v>
      </c>
      <c r="H549" s="87">
        <f>L531</f>
        <v>92588.79</v>
      </c>
      <c r="I549" s="87">
        <f>L536</f>
        <v>1363.22</v>
      </c>
      <c r="J549" s="87">
        <f>L541</f>
        <v>194580.11</v>
      </c>
      <c r="K549" s="87">
        <f>SUM(F549:J549)</f>
        <v>1987084.5500000003</v>
      </c>
      <c r="L549" s="24" t="s">
        <v>288</v>
      </c>
      <c r="M549" s="8"/>
      <c r="N549" s="266"/>
    </row>
    <row r="550" spans="1:14" s="3" customFormat="1" ht="12.2" customHeight="1" x14ac:dyDescent="0.15">
      <c r="A550" s="22" t="s">
        <v>634</v>
      </c>
      <c r="B550" s="75">
        <v>21</v>
      </c>
      <c r="C550" s="75">
        <v>23</v>
      </c>
      <c r="D550" s="2" t="s">
        <v>432</v>
      </c>
      <c r="E550" s="75"/>
      <c r="F550" s="87">
        <f>L522</f>
        <v>907470.92999999993</v>
      </c>
      <c r="G550" s="87">
        <f>L527</f>
        <v>267634.93000000005</v>
      </c>
      <c r="H550" s="87">
        <f>L532</f>
        <v>61616.800000000003</v>
      </c>
      <c r="I550" s="87">
        <f>L537</f>
        <v>907.21</v>
      </c>
      <c r="J550" s="87">
        <f>L542</f>
        <v>129490.88</v>
      </c>
      <c r="K550" s="87">
        <f>SUM(F550:J550)</f>
        <v>1367120.75</v>
      </c>
      <c r="L550" s="24" t="s">
        <v>288</v>
      </c>
      <c r="M550" s="8"/>
      <c r="N550" s="266"/>
    </row>
    <row r="551" spans="1:14" s="3" customFormat="1" ht="12.2" customHeight="1" thickBot="1" x14ac:dyDescent="0.2">
      <c r="A551" s="22" t="s">
        <v>635</v>
      </c>
      <c r="B551" s="75">
        <v>21</v>
      </c>
      <c r="C551" s="75">
        <v>24</v>
      </c>
      <c r="D551" s="2" t="s">
        <v>432</v>
      </c>
      <c r="E551" s="75"/>
      <c r="F551" s="87">
        <f>L523</f>
        <v>898827.8600000001</v>
      </c>
      <c r="G551" s="87">
        <f>L528</f>
        <v>287162.12</v>
      </c>
      <c r="H551" s="87">
        <f>L533</f>
        <v>61030.020000000004</v>
      </c>
      <c r="I551" s="87">
        <f>L538</f>
        <v>898.57</v>
      </c>
      <c r="J551" s="87">
        <f>L543</f>
        <v>128257.7</v>
      </c>
      <c r="K551" s="87">
        <f>SUM(F551:J551)</f>
        <v>1376176.27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3179269.1800000006</v>
      </c>
      <c r="G552" s="89">
        <f t="shared" si="42"/>
        <v>880379.09</v>
      </c>
      <c r="H552" s="89">
        <f t="shared" si="42"/>
        <v>215235.61</v>
      </c>
      <c r="I552" s="89">
        <f t="shared" si="42"/>
        <v>3169.0000000000005</v>
      </c>
      <c r="J552" s="89">
        <f t="shared" si="42"/>
        <v>452328.69</v>
      </c>
      <c r="K552" s="89">
        <f t="shared" si="42"/>
        <v>4730381.57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16490.52</v>
      </c>
      <c r="G562" s="18">
        <v>1307.08</v>
      </c>
      <c r="H562" s="18"/>
      <c r="I562" s="18">
        <v>100.37</v>
      </c>
      <c r="J562" s="18"/>
      <c r="K562" s="18"/>
      <c r="L562" s="88">
        <f>SUM(F562:K562)</f>
        <v>17897.969999999998</v>
      </c>
      <c r="M562" s="8"/>
      <c r="N562" s="266"/>
    </row>
    <row r="563" spans="1:14" s="3" customFormat="1" ht="12.2" customHeight="1" x14ac:dyDescent="0.15">
      <c r="A563" s="22" t="s">
        <v>634</v>
      </c>
      <c r="B563" s="105">
        <v>22</v>
      </c>
      <c r="C563" s="115">
        <v>6</v>
      </c>
      <c r="D563" s="2" t="s">
        <v>432</v>
      </c>
      <c r="E563" s="115"/>
      <c r="F563" s="18">
        <v>10974.25</v>
      </c>
      <c r="G563" s="18">
        <v>869.85</v>
      </c>
      <c r="H563" s="18"/>
      <c r="I563" s="18">
        <v>74.37</v>
      </c>
      <c r="J563" s="18"/>
      <c r="K563" s="18"/>
      <c r="L563" s="88">
        <f>SUM(F563:K563)</f>
        <v>11918.470000000001</v>
      </c>
      <c r="M563" s="8"/>
      <c r="N563" s="266"/>
    </row>
    <row r="564" spans="1:14" s="3" customFormat="1" ht="12.2" customHeight="1" thickBot="1" x14ac:dyDescent="0.2">
      <c r="A564" s="22" t="s">
        <v>635</v>
      </c>
      <c r="B564" s="105">
        <v>22</v>
      </c>
      <c r="C564" s="118">
        <v>7</v>
      </c>
      <c r="D564" s="2" t="s">
        <v>432</v>
      </c>
      <c r="E564" s="118"/>
      <c r="F564" s="18">
        <v>10869.74</v>
      </c>
      <c r="G564" s="18">
        <v>861.57</v>
      </c>
      <c r="H564" s="18"/>
      <c r="I564" s="18">
        <v>76.91</v>
      </c>
      <c r="J564" s="18"/>
      <c r="K564" s="18"/>
      <c r="L564" s="88">
        <f>SUM(F564:K564)</f>
        <v>11808.22</v>
      </c>
      <c r="M564" s="8"/>
      <c r="N564" s="266"/>
    </row>
    <row r="565" spans="1:14" s="3" customFormat="1" ht="12.2" customHeight="1" thickTop="1" x14ac:dyDescent="0.15">
      <c r="A565" s="139" t="s">
        <v>65</v>
      </c>
      <c r="B565" s="107">
        <v>22</v>
      </c>
      <c r="C565" s="107">
        <v>8</v>
      </c>
      <c r="D565" s="196" t="s">
        <v>432</v>
      </c>
      <c r="E565" s="107"/>
      <c r="F565" s="89">
        <f t="shared" ref="F565:L565" si="44">SUM(F562:F564)</f>
        <v>38334.51</v>
      </c>
      <c r="G565" s="89">
        <f t="shared" si="44"/>
        <v>3038.5</v>
      </c>
      <c r="H565" s="89">
        <f t="shared" si="44"/>
        <v>0</v>
      </c>
      <c r="I565" s="89">
        <f t="shared" si="44"/>
        <v>251.65</v>
      </c>
      <c r="J565" s="89">
        <f t="shared" si="44"/>
        <v>0</v>
      </c>
      <c r="K565" s="89">
        <f t="shared" si="44"/>
        <v>0</v>
      </c>
      <c r="L565" s="89">
        <f t="shared" si="44"/>
        <v>41624.659999999996</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38334.51</v>
      </c>
      <c r="G571" s="89">
        <f t="shared" ref="G571:L571" si="46">G560+G565+G570</f>
        <v>3038.5</v>
      </c>
      <c r="H571" s="89">
        <f t="shared" si="46"/>
        <v>0</v>
      </c>
      <c r="I571" s="89">
        <f t="shared" si="46"/>
        <v>251.65</v>
      </c>
      <c r="J571" s="89">
        <f t="shared" si="46"/>
        <v>0</v>
      </c>
      <c r="K571" s="89">
        <f t="shared" si="46"/>
        <v>0</v>
      </c>
      <c r="L571" s="89">
        <f t="shared" si="46"/>
        <v>41624.659999999996</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15691</v>
      </c>
      <c r="I575" s="87">
        <f>SUM(F575:H575)</f>
        <v>15691</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79909.2</v>
      </c>
      <c r="H582" s="18">
        <f>362797.22-79909.2</f>
        <v>282888.01999999996</v>
      </c>
      <c r="I582" s="87">
        <f t="shared" si="47"/>
        <v>362797.22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48535.14</v>
      </c>
      <c r="I584" s="87">
        <f t="shared" si="47"/>
        <v>48535.14</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193955.98</v>
      </c>
      <c r="I591" s="18">
        <v>166365.64000000001</v>
      </c>
      <c r="J591" s="18">
        <v>180778.5</v>
      </c>
      <c r="K591" s="104">
        <f t="shared" ref="K591:K597" si="48">SUM(H591:J591)</f>
        <v>541100.12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194580.11</v>
      </c>
      <c r="I592" s="18">
        <v>129490.88</v>
      </c>
      <c r="J592" s="18">
        <v>128257.7</v>
      </c>
      <c r="K592" s="104">
        <f t="shared" si="48"/>
        <v>452328.69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56352.6</v>
      </c>
      <c r="K593" s="104">
        <f t="shared" si="48"/>
        <v>56352.6</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12090.48</v>
      </c>
      <c r="J594" s="18">
        <v>69724.460000000006</v>
      </c>
      <c r="K594" s="104">
        <f t="shared" si="48"/>
        <v>81814.94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3997.21</v>
      </c>
      <c r="I595" s="18">
        <v>5542.53</v>
      </c>
      <c r="J595" s="18">
        <v>4880.08</v>
      </c>
      <c r="K595" s="104">
        <f t="shared" si="48"/>
        <v>14419.82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392533.3</v>
      </c>
      <c r="I598" s="108">
        <f>SUM(I591:I597)</f>
        <v>313489.53000000003</v>
      </c>
      <c r="J598" s="108">
        <f>SUM(J591:J597)</f>
        <v>439993.34</v>
      </c>
      <c r="K598" s="108">
        <f>SUM(K591:K597)</f>
        <v>1146016.1700000002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39987.44-5625+35972.42+4492.66</f>
        <v>74827.520000000004</v>
      </c>
      <c r="I604" s="18">
        <f>30855.33+39337.92+473.59</f>
        <v>70666.84</v>
      </c>
      <c r="J604" s="18">
        <f>186829.41+33528.44+3353.57-128.08</f>
        <v>223583.34000000003</v>
      </c>
      <c r="K604" s="104">
        <f>SUM(H604:J604)</f>
        <v>369077.7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74827.520000000004</v>
      </c>
      <c r="I605" s="108">
        <f>SUM(I602:I604)</f>
        <v>70666.84</v>
      </c>
      <c r="J605" s="108">
        <f>SUM(J602:J604)</f>
        <v>223583.34000000003</v>
      </c>
      <c r="K605" s="108">
        <f>SUM(K602:K604)</f>
        <v>369077.7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1332470.4800000002</v>
      </c>
      <c r="H617" s="109">
        <f>SUM(F52)</f>
        <v>1332470.48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45218.569999999992</v>
      </c>
      <c r="H618" s="109">
        <f>SUM(G52)</f>
        <v>45218.57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78325.740000000005</v>
      </c>
      <c r="H619" s="109">
        <f>SUM(H52)</f>
        <v>78325.739999999991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370556.91</v>
      </c>
      <c r="H621" s="109">
        <f>SUM(J52)</f>
        <v>370556.91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446124.62</v>
      </c>
      <c r="H622" s="109">
        <f>F476</f>
        <v>446124.62391171977</v>
      </c>
      <c r="I622" s="121" t="s">
        <v>101</v>
      </c>
      <c r="J622" s="109">
        <f t="shared" ref="J622:J655" si="50">G622-H622</f>
        <v>-3.9117197738960385E-3</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370556.91</v>
      </c>
      <c r="H626" s="109">
        <f>J476</f>
        <v>370556.91000000003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21160934.399999999</v>
      </c>
      <c r="H627" s="104">
        <f>SUM(F468)</f>
        <v>21160934.399999999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492330.47</v>
      </c>
      <c r="H628" s="104">
        <f>SUM(G468)</f>
        <v>492330.47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520136.56</v>
      </c>
      <c r="H629" s="104">
        <f>SUM(H468)</f>
        <v>520136.56</v>
      </c>
      <c r="I629" s="140" t="s">
        <v>108</v>
      </c>
      <c r="J629" s="109">
        <f>G629-H629</f>
        <v>0</v>
      </c>
      <c r="K629" s="85"/>
      <c r="L629" s="88"/>
      <c r="M629" s="8"/>
    </row>
    <row r="630" spans="1:13" s="3" customFormat="1" ht="12.2" customHeight="1" x14ac:dyDescent="0.15">
      <c r="A630" s="22"/>
      <c r="B630" s="105"/>
      <c r="C630" s="105"/>
      <c r="D630" s="105"/>
      <c r="E630" s="105"/>
      <c r="F630" s="120" t="s">
        <v>661</v>
      </c>
      <c r="G630" s="109">
        <f>I193</f>
        <v>538114.11</v>
      </c>
      <c r="H630" s="104">
        <f>SUM(I468)</f>
        <v>538114.11</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56330.45</v>
      </c>
      <c r="H631" s="104">
        <f>SUM(J468)</f>
        <v>56330.45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21690231.976088278</v>
      </c>
      <c r="H632" s="104">
        <f>SUM(F472)</f>
        <v>21690231.976088278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520136.56</v>
      </c>
      <c r="H633" s="104">
        <f>SUM(H472)</f>
        <v>520136.56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235897.18</v>
      </c>
      <c r="H634" s="104">
        <f>I369</f>
        <v>235897.18000000002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536911.02</v>
      </c>
      <c r="H635" s="104">
        <f>SUM(G472)</f>
        <v>536911.02</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446879.24</v>
      </c>
      <c r="H636" s="104">
        <f>SUM(I472)</f>
        <v>446879.24</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56330.45</v>
      </c>
      <c r="H637" s="164">
        <f>SUM(J468)</f>
        <v>56330.45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370556.91</v>
      </c>
      <c r="H639" s="104">
        <f>SUM(F461)</f>
        <v>370556.91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370556.91</v>
      </c>
      <c r="H642" s="104">
        <f>SUM(I461)</f>
        <v>370556.91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4592.45</v>
      </c>
      <c r="H644" s="104">
        <f>H408</f>
        <v>4592.45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51738</v>
      </c>
      <c r="H645" s="104">
        <f>G408</f>
        <v>51738</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56330.45</v>
      </c>
      <c r="H646" s="104">
        <f>L408</f>
        <v>56330.45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1146016.1700000002</v>
      </c>
      <c r="H647" s="104">
        <f>L208+L226+L244</f>
        <v>1146016.1699999997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369077.7</v>
      </c>
      <c r="H648" s="104">
        <f>(J257+J338)-(J255+J336)</f>
        <v>369077.7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392533.29977918585</v>
      </c>
      <c r="H649" s="104">
        <f>H598</f>
        <v>392533.3</v>
      </c>
      <c r="I649" s="140" t="s">
        <v>388</v>
      </c>
      <c r="J649" s="109">
        <f t="shared" si="50"/>
        <v>-2.2081413771957159E-4</v>
      </c>
      <c r="K649" s="85"/>
      <c r="L649" s="88"/>
      <c r="M649" s="8"/>
    </row>
    <row r="650" spans="1:13" s="3" customFormat="1" ht="12.2" customHeight="1" x14ac:dyDescent="0.15">
      <c r="A650" s="22"/>
      <c r="B650" s="105"/>
      <c r="C650" s="105"/>
      <c r="D650" s="105"/>
      <c r="E650" s="105"/>
      <c r="F650" s="120" t="s">
        <v>392</v>
      </c>
      <c r="G650" s="109">
        <f>L226</f>
        <v>313489.52536312083</v>
      </c>
      <c r="H650" s="104">
        <f>I598</f>
        <v>313489.53000000003</v>
      </c>
      <c r="I650" s="140" t="s">
        <v>389</v>
      </c>
      <c r="J650" s="109">
        <f t="shared" si="50"/>
        <v>-4.636879195459187E-3</v>
      </c>
      <c r="K650" s="85"/>
      <c r="L650" s="88"/>
      <c r="M650" s="8"/>
    </row>
    <row r="651" spans="1:13" s="3" customFormat="1" ht="12.2" customHeight="1" x14ac:dyDescent="0.15">
      <c r="A651" s="22"/>
      <c r="B651" s="105"/>
      <c r="C651" s="105"/>
      <c r="D651" s="105"/>
      <c r="E651" s="105"/>
      <c r="F651" s="120" t="s">
        <v>393</v>
      </c>
      <c r="G651" s="109">
        <f>L244</f>
        <v>439993.34485769301</v>
      </c>
      <c r="H651" s="104">
        <f>J598</f>
        <v>439993.34</v>
      </c>
      <c r="I651" s="140" t="s">
        <v>390</v>
      </c>
      <c r="J651" s="109">
        <f t="shared" si="50"/>
        <v>4.8576929839327931E-3</v>
      </c>
      <c r="K651" s="85"/>
      <c r="L651" s="88"/>
      <c r="M651" s="8"/>
    </row>
    <row r="652" spans="1:13" s="3" customFormat="1" ht="12.2" customHeight="1" x14ac:dyDescent="0.15">
      <c r="A652" s="22"/>
      <c r="B652" s="105"/>
      <c r="C652" s="105"/>
      <c r="D652" s="105"/>
      <c r="E652" s="105"/>
      <c r="F652" s="120" t="s">
        <v>665</v>
      </c>
      <c r="G652" s="109">
        <f>G179</f>
        <v>40257</v>
      </c>
      <c r="H652" s="104">
        <f>K263+K345</f>
        <v>40257</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326726.61</v>
      </c>
      <c r="H654" s="104">
        <f>K265+K346</f>
        <v>326726.61</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-3.911726176738739E-3</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7549100.8516889252</v>
      </c>
      <c r="G660" s="19">
        <f>(L229+L309+L359)</f>
        <v>6799676.870280657</v>
      </c>
      <c r="H660" s="19">
        <f>(L247+L328+L360)</f>
        <v>7918814.6841186984</v>
      </c>
      <c r="I660" s="19">
        <f>SUM(F660:H660)</f>
        <v>22267592.406088281</v>
      </c>
      <c r="J660" s="13"/>
      <c r="K660" s="13"/>
      <c r="L660" s="13"/>
      <c r="M660" s="9"/>
    </row>
    <row r="661" spans="1:13" s="3" customFormat="1" ht="12.2" customHeight="1" x14ac:dyDescent="0.2">
      <c r="A661" s="1" t="s">
        <v>127</v>
      </c>
      <c r="F661" s="19">
        <f>(L358/IF(SUM(L358:L360)=0,1,SUM(L358:L360))*(SUM(G97:G110)))</f>
        <v>92553.239921126238</v>
      </c>
      <c r="G661" s="19">
        <f>(L359/IF(SUM(L358:L360)=0,1,SUM(L358:L360))*(SUM(G97:G110)))</f>
        <v>128490.28302191413</v>
      </c>
      <c r="H661" s="19">
        <f>(L360/IF(SUM(L358:L360)=0,1,SUM(L358:L360))*(SUM(G97:G110)))</f>
        <v>140919.05705695966</v>
      </c>
      <c r="I661" s="19">
        <f>SUM(F661:H661)</f>
        <v>361962.58</v>
      </c>
      <c r="J661"/>
      <c r="K661" s="13"/>
      <c r="L661" s="13"/>
      <c r="M661" s="9"/>
    </row>
    <row r="662" spans="1:13" s="3" customFormat="1" ht="12.2" customHeight="1" x14ac:dyDescent="0.2">
      <c r="A662" s="1" t="s">
        <v>128</v>
      </c>
      <c r="F662" s="19">
        <f>(L208+L287)-(J208+J287)</f>
        <v>392572.72977918584</v>
      </c>
      <c r="G662" s="19">
        <f>(L226+L306)-(J226+J306)</f>
        <v>313523.34536312084</v>
      </c>
      <c r="H662" s="19">
        <f>(L244+L325)-(J244+J325)</f>
        <v>440030.09485769301</v>
      </c>
      <c r="I662" s="19">
        <f>SUM(F662:H662)</f>
        <v>1146126.1699999997</v>
      </c>
      <c r="J662"/>
      <c r="K662" s="13"/>
      <c r="L662" s="13"/>
      <c r="M662" s="8"/>
    </row>
    <row r="663" spans="1:13" s="3" customFormat="1" ht="12.2" customHeight="1" x14ac:dyDescent="0.15">
      <c r="A663" s="198" t="s">
        <v>129</v>
      </c>
      <c r="B663" s="169"/>
      <c r="C663" s="169"/>
      <c r="D663" s="169"/>
      <c r="E663" s="169"/>
      <c r="F663" s="199">
        <f>SUM(F575:F587)+SUM(H602:H604)+SUM(L611)</f>
        <v>74827.520000000004</v>
      </c>
      <c r="G663" s="199">
        <f>SUM(G575:G587)+SUM(I602:I604)+L612</f>
        <v>150576.03999999998</v>
      </c>
      <c r="H663" s="199">
        <f>SUM(H575:H587)+SUM(J602:J604)+L613</f>
        <v>570697.5</v>
      </c>
      <c r="I663" s="19">
        <f>SUM(F663:H663)</f>
        <v>796101.06</v>
      </c>
      <c r="J663" s="13"/>
      <c r="K663" s="13"/>
      <c r="L663" s="13"/>
      <c r="M663" s="9"/>
    </row>
    <row r="664" spans="1:13" s="3" customFormat="1" ht="12.2" customHeight="1" x14ac:dyDescent="0.15">
      <c r="A664" s="1" t="s">
        <v>130</v>
      </c>
      <c r="F664" s="19">
        <f>F660-SUM(F661:F663)</f>
        <v>6989147.3619886134</v>
      </c>
      <c r="G664" s="19">
        <f>G660-SUM(G661:G663)</f>
        <v>6207087.2018956225</v>
      </c>
      <c r="H664" s="19">
        <f>H660-SUM(H661:H663)</f>
        <v>6767168.0322040459</v>
      </c>
      <c r="I664" s="19">
        <f>I660-SUM(I661:I663)</f>
        <v>19963402.596088283</v>
      </c>
      <c r="J664" s="13"/>
      <c r="K664" s="13"/>
      <c r="L664" s="13"/>
      <c r="M664" s="9"/>
    </row>
    <row r="665" spans="1:13" s="3" customFormat="1" ht="12.2" customHeight="1" x14ac:dyDescent="0.2">
      <c r="A665" s="1" t="s">
        <v>131</v>
      </c>
      <c r="F665" s="246">
        <v>437.22</v>
      </c>
      <c r="G665" s="247">
        <v>402.91</v>
      </c>
      <c r="H665" s="247">
        <v>429.44</v>
      </c>
      <c r="I665" s="19">
        <f>SUM(F665:H665)</f>
        <v>1269.5700000000002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15985.42</v>
      </c>
      <c r="G667" s="19">
        <f>ROUND(G664/G665,2)</f>
        <v>15405.64</v>
      </c>
      <c r="H667" s="19">
        <f>ROUND(H664/H665,2)</f>
        <v>15758.12</v>
      </c>
      <c r="I667" s="19">
        <f>ROUND(I664/I665,2)</f>
        <v>15724.54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-13</v>
      </c>
      <c r="I670" s="19">
        <f>SUM(F670:H670)</f>
        <v>-13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15985.42</v>
      </c>
      <c r="G672" s="19">
        <f>ROUND((G664+G669)/(G665+G670),2)</f>
        <v>15405.64</v>
      </c>
      <c r="H672" s="19">
        <f>ROUND((H664+H669)/(H665+H670),2)</f>
        <v>16250.04</v>
      </c>
      <c r="I672" s="19">
        <f>ROUND((I664+I669)/(I665+I670),2)</f>
        <v>15887.22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link="1"/>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SAU 27 - Litchfield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5746221.0312176561</v>
      </c>
      <c r="C9" s="229">
        <f>'DOE25'!G197+'DOE25'!G215+'DOE25'!G233+'DOE25'!G276+'DOE25'!G295+'DOE25'!G314</f>
        <v>2668046.2799999998</v>
      </c>
    </row>
    <row r="10" spans="1:3" x14ac:dyDescent="0.2">
      <c r="A10" t="s">
        <v>775</v>
      </c>
      <c r="B10" s="240">
        <v>5210722.8499999996</v>
      </c>
      <c r="C10" s="240">
        <v>2503803.71</v>
      </c>
    </row>
    <row r="11" spans="1:3" x14ac:dyDescent="0.2">
      <c r="A11" t="s">
        <v>776</v>
      </c>
      <c r="B11" s="240">
        <v>148854.57</v>
      </c>
      <c r="C11" s="240">
        <v>45665.16</v>
      </c>
    </row>
    <row r="12" spans="1:3" x14ac:dyDescent="0.2">
      <c r="A12" t="s">
        <v>777</v>
      </c>
      <c r="B12" s="240">
        <v>386643.61</v>
      </c>
      <c r="C12" s="240">
        <v>118577.41</v>
      </c>
    </row>
    <row r="13" spans="1:3" x14ac:dyDescent="0.2">
      <c r="A13" t="str">
        <f>IF(B9=B13,IF(C9=C13,"Check Total OK","Check Total Error"),"Check Total Error")</f>
        <v>Check Total Error</v>
      </c>
      <c r="B13" s="231">
        <f>SUM(B10:B12)</f>
        <v>5746221.0300000003</v>
      </c>
      <c r="C13" s="231">
        <f>SUM(C10:C12)</f>
        <v>2668046.2800000003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2062705.7999999998</v>
      </c>
      <c r="C18" s="229">
        <f>'DOE25'!G198+'DOE25'!G216+'DOE25'!G234+'DOE25'!G277+'DOE25'!G296+'DOE25'!G315</f>
        <v>576324.48</v>
      </c>
    </row>
    <row r="19" spans="1:3" x14ac:dyDescent="0.2">
      <c r="A19" t="s">
        <v>775</v>
      </c>
      <c r="B19" s="240">
        <v>1026593.09</v>
      </c>
      <c r="C19" s="240">
        <f>78534.37+178216.6+121094.01-0.1-3000</f>
        <v>374844.88</v>
      </c>
    </row>
    <row r="20" spans="1:3" x14ac:dyDescent="0.2">
      <c r="A20" t="s">
        <v>776</v>
      </c>
      <c r="B20" s="240">
        <v>963175.14</v>
      </c>
      <c r="C20" s="240">
        <f>73682.9+113613.47</f>
        <v>187296.37</v>
      </c>
    </row>
    <row r="21" spans="1:3" x14ac:dyDescent="0.2">
      <c r="A21" t="s">
        <v>777</v>
      </c>
      <c r="B21" s="240">
        <v>72937.570000000007</v>
      </c>
      <c r="C21" s="240">
        <f>8603.51+5579.72</f>
        <v>14183.23</v>
      </c>
    </row>
    <row r="22" spans="1:3" x14ac:dyDescent="0.2">
      <c r="A22" t="str">
        <f>IF(B18=B22,IF(C18=C22,"Check Total OK","Check Total Error"),"Check Total Error")</f>
        <v>Check Total OK</v>
      </c>
      <c r="B22" s="231">
        <f>SUM(B19:B21)</f>
        <v>2062705.8</v>
      </c>
      <c r="C22" s="231">
        <f>SUM(C19:C21)</f>
        <v>576324.48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313914.95</v>
      </c>
      <c r="C36" s="235">
        <f>'DOE25'!G200+'DOE25'!G218+'DOE25'!G236+'DOE25'!G279+'DOE25'!G298+'DOE25'!G317</f>
        <v>76912.23</v>
      </c>
    </row>
    <row r="37" spans="1:3" x14ac:dyDescent="0.2">
      <c r="A37" t="s">
        <v>775</v>
      </c>
      <c r="B37" s="240">
        <v>236734.25</v>
      </c>
      <c r="C37" s="240">
        <f>18110.17+41097.07</f>
        <v>59207.24</v>
      </c>
    </row>
    <row r="38" spans="1:3" x14ac:dyDescent="0.2">
      <c r="A38" t="s">
        <v>776</v>
      </c>
      <c r="B38" s="240">
        <v>0</v>
      </c>
      <c r="C38" s="240">
        <v>0</v>
      </c>
    </row>
    <row r="39" spans="1:3" x14ac:dyDescent="0.2">
      <c r="A39" t="s">
        <v>777</v>
      </c>
      <c r="B39" s="240">
        <f>641.7+76539</f>
        <v>77180.7</v>
      </c>
      <c r="C39" s="240">
        <f>5852.25+2.98+13280.4-1430.64</f>
        <v>17704.989999999998</v>
      </c>
    </row>
    <row r="40" spans="1:3" x14ac:dyDescent="0.2">
      <c r="A40" t="str">
        <f>IF(B36=B40,IF(C36=C40,"Check Total OK","Check Total Error"),"Check Total Error")</f>
        <v>Check Total OK</v>
      </c>
      <c r="B40" s="231">
        <f>SUM(B37:B39)</f>
        <v>313914.95</v>
      </c>
      <c r="C40" s="231">
        <f>SUM(C37:C39)</f>
        <v>76912.23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SAU 27 - Litchfield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12390394.561217656</v>
      </c>
      <c r="D5" s="20">
        <f>SUM('DOE25'!L197:L200)+SUM('DOE25'!L215:L218)+SUM('DOE25'!L233:L236)-F5-G5-H5</f>
        <v>12184032.451217657</v>
      </c>
      <c r="E5" s="243"/>
      <c r="F5" s="244"/>
      <c r="G5" s="53">
        <f>SUM('DOE25'!J197:J200)+SUM('DOE25'!J215:J218)+SUM('DOE25'!J233:J236)</f>
        <v>154268.12</v>
      </c>
      <c r="H5" s="53">
        <f>SUM('DOE25'!K197:K200)+SUM('DOE25'!K215:K218)+SUM('DOE25'!K233:K236)</f>
        <v>52093.990000000005</v>
      </c>
      <c r="I5" s="256"/>
    </row>
    <row r="6" spans="1:9" x14ac:dyDescent="0.2">
      <c r="A6" s="32">
        <v>2100</v>
      </c>
      <c r="B6" t="s">
        <v>796</v>
      </c>
      <c r="C6" s="276">
        <f t="shared" si="0"/>
        <v>1771820.81</v>
      </c>
      <c r="D6" s="20">
        <f>'DOE25'!L202+'DOE25'!L220+'DOE25'!L238-F6-G6-H6</f>
        <v>1766913.26</v>
      </c>
      <c r="E6" s="243"/>
      <c r="F6" s="244"/>
      <c r="G6" s="53">
        <f>'DOE25'!J202+'DOE25'!J220+'DOE25'!J238</f>
        <v>3708.79</v>
      </c>
      <c r="H6" s="53">
        <f>'DOE25'!K202+'DOE25'!K220+'DOE25'!K238</f>
        <v>1198.76</v>
      </c>
      <c r="I6" s="256"/>
    </row>
    <row r="7" spans="1:9" x14ac:dyDescent="0.2">
      <c r="A7" s="32">
        <v>2200</v>
      </c>
      <c r="B7" t="s">
        <v>821</v>
      </c>
      <c r="C7" s="276">
        <f t="shared" si="0"/>
        <v>715507.04</v>
      </c>
      <c r="D7" s="20">
        <f>'DOE25'!L203+'DOE25'!L221+'DOE25'!L239-F7-G7-H7</f>
        <v>637306.08000000007</v>
      </c>
      <c r="E7" s="243"/>
      <c r="F7" s="244"/>
      <c r="G7" s="53">
        <f>'DOE25'!J203+'DOE25'!J221+'DOE25'!J239</f>
        <v>76933.960000000006</v>
      </c>
      <c r="H7" s="53">
        <f>'DOE25'!K203+'DOE25'!K221+'DOE25'!K239</f>
        <v>1267</v>
      </c>
      <c r="I7" s="256"/>
    </row>
    <row r="8" spans="1:9" x14ac:dyDescent="0.2">
      <c r="A8" s="32">
        <v>2300</v>
      </c>
      <c r="B8" t="s">
        <v>797</v>
      </c>
      <c r="C8" s="276">
        <f t="shared" si="0"/>
        <v>232300.08000000007</v>
      </c>
      <c r="D8" s="243"/>
      <c r="E8" s="20">
        <f>'DOE25'!L204+'DOE25'!L222+'DOE25'!L240-F8-G8-H8-D9-D11</f>
        <v>219192.70000000007</v>
      </c>
      <c r="F8" s="244"/>
      <c r="G8" s="53">
        <f>'DOE25'!J204+'DOE25'!J222+'DOE25'!J240</f>
        <v>0</v>
      </c>
      <c r="H8" s="53">
        <f>'DOE25'!K204+'DOE25'!K222+'DOE25'!K240</f>
        <v>13107.38</v>
      </c>
      <c r="I8" s="256"/>
    </row>
    <row r="9" spans="1:9" ht="14.25" x14ac:dyDescent="0.2">
      <c r="A9" s="32">
        <v>2310</v>
      </c>
      <c r="B9" s="185" t="s">
        <v>890</v>
      </c>
      <c r="C9" s="276">
        <f t="shared" si="0"/>
        <v>123017.25</v>
      </c>
      <c r="D9" s="244">
        <f>138017.25-15000</f>
        <v>123017.25</v>
      </c>
      <c r="E9" s="243"/>
      <c r="F9" s="253"/>
      <c r="G9" s="253"/>
      <c r="H9" s="253"/>
      <c r="I9" s="256"/>
    </row>
    <row r="10" spans="1:9" ht="14.25" x14ac:dyDescent="0.2">
      <c r="A10" s="32">
        <v>2317</v>
      </c>
      <c r="B10" s="185" t="s">
        <v>891</v>
      </c>
      <c r="C10" s="276">
        <f t="shared" si="0"/>
        <v>15000</v>
      </c>
      <c r="D10" s="243"/>
      <c r="E10" s="244">
        <v>15000</v>
      </c>
      <c r="F10" s="253"/>
      <c r="G10" s="253"/>
      <c r="H10" s="253"/>
      <c r="I10" s="256"/>
    </row>
    <row r="11" spans="1:9" ht="14.25" x14ac:dyDescent="0.2">
      <c r="A11" s="32">
        <v>2321</v>
      </c>
      <c r="B11" s="185" t="s">
        <v>892</v>
      </c>
      <c r="C11" s="276">
        <f t="shared" si="0"/>
        <v>332653.11</v>
      </c>
      <c r="D11" s="244">
        <f>22873.11+309780</f>
        <v>332653.11</v>
      </c>
      <c r="E11" s="243"/>
      <c r="F11" s="253"/>
      <c r="G11" s="253"/>
      <c r="H11" s="253"/>
      <c r="I11" s="256"/>
    </row>
    <row r="12" spans="1:9" x14ac:dyDescent="0.2">
      <c r="A12" s="32">
        <v>2400</v>
      </c>
      <c r="B12" t="s">
        <v>711</v>
      </c>
      <c r="C12" s="276">
        <f t="shared" si="0"/>
        <v>1302584.92</v>
      </c>
      <c r="D12" s="20">
        <f>'DOE25'!L205+'DOE25'!L223+'DOE25'!L241-F12-G12-H12</f>
        <v>1269911.8299999998</v>
      </c>
      <c r="E12" s="243"/>
      <c r="F12" s="244"/>
      <c r="G12" s="53">
        <f>'DOE25'!J205+'DOE25'!J223+'DOE25'!J241</f>
        <v>3556.2799999999997</v>
      </c>
      <c r="H12" s="53">
        <f>'DOE25'!K205+'DOE25'!K223+'DOE25'!K241</f>
        <v>29116.809999999998</v>
      </c>
      <c r="I12" s="256"/>
    </row>
    <row r="13" spans="1:9" x14ac:dyDescent="0.2">
      <c r="A13" s="32">
        <v>2500</v>
      </c>
      <c r="B13" t="s">
        <v>798</v>
      </c>
      <c r="C13" s="276">
        <f t="shared" si="0"/>
        <v>342540.70487062406</v>
      </c>
      <c r="D13" s="243"/>
      <c r="E13" s="20">
        <f>'DOE25'!L206+'DOE25'!L224+'DOE25'!L242-F13-G13-H13</f>
        <v>341013.70345509896</v>
      </c>
      <c r="F13" s="244"/>
      <c r="G13" s="53">
        <f>'DOE25'!J206+'DOE25'!J224+'DOE25'!J242</f>
        <v>0</v>
      </c>
      <c r="H13" s="53">
        <f>'DOE25'!K206+'DOE25'!K224+'DOE25'!K242</f>
        <v>1527.0014155251142</v>
      </c>
      <c r="I13" s="256"/>
    </row>
    <row r="14" spans="1:9" x14ac:dyDescent="0.2">
      <c r="A14" s="32">
        <v>2600</v>
      </c>
      <c r="B14" t="s">
        <v>819</v>
      </c>
      <c r="C14" s="276">
        <f t="shared" si="0"/>
        <v>2094252.9099999997</v>
      </c>
      <c r="D14" s="20">
        <f>'DOE25'!L207+'DOE25'!L225+'DOE25'!L243-F14-G14-H14</f>
        <v>2083935.2199999997</v>
      </c>
      <c r="E14" s="243"/>
      <c r="F14" s="244"/>
      <c r="G14" s="53">
        <f>'DOE25'!J207+'DOE25'!J225+'DOE25'!J243</f>
        <v>10317.689999999999</v>
      </c>
      <c r="H14" s="53">
        <f>'DOE25'!K207+'DOE25'!K225+'DOE25'!K243</f>
        <v>0</v>
      </c>
      <c r="I14" s="256"/>
    </row>
    <row r="15" spans="1:9" x14ac:dyDescent="0.2">
      <c r="A15" s="32">
        <v>2700</v>
      </c>
      <c r="B15" t="s">
        <v>799</v>
      </c>
      <c r="C15" s="276">
        <f t="shared" si="0"/>
        <v>1146016.1699999997</v>
      </c>
      <c r="D15" s="20">
        <f>'DOE25'!L208+'DOE25'!L226+'DOE25'!L244-F15-G15-H15</f>
        <v>21630.219999999506</v>
      </c>
      <c r="E15" s="243"/>
      <c r="F15" s="244">
        <f>541100.12+452328.69+56352.6+69724.46+4880.08</f>
        <v>1124385.9500000002</v>
      </c>
      <c r="G15" s="53">
        <f>'DOE25'!J208+'DOE25'!J226+'DOE25'!J244</f>
        <v>0</v>
      </c>
      <c r="H15" s="53">
        <f>'DOE25'!K208+'DOE25'!K226+'DOE25'!K244</f>
        <v>0</v>
      </c>
      <c r="I15" s="256"/>
    </row>
    <row r="16" spans="1:9" x14ac:dyDescent="0.2">
      <c r="A16" s="32">
        <v>2800</v>
      </c>
      <c r="B16" t="s">
        <v>800</v>
      </c>
      <c r="C16" s="276">
        <f t="shared" si="0"/>
        <v>773298.20000000007</v>
      </c>
      <c r="D16" s="243"/>
      <c r="E16" s="20">
        <f>'DOE25'!L209+'DOE25'!L227+'DOE25'!L245-F16-G16-H16</f>
        <v>659011.31000000006</v>
      </c>
      <c r="F16" s="244"/>
      <c r="G16" s="53">
        <f>'DOE25'!J209+'DOE25'!J227+'DOE25'!J245</f>
        <v>112101.52</v>
      </c>
      <c r="H16" s="53">
        <f>'DOE25'!K209+'DOE25'!K227+'DOE25'!K245</f>
        <v>2185.37</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55717.93</v>
      </c>
      <c r="D22" s="243"/>
      <c r="E22" s="243"/>
      <c r="F22" s="243"/>
      <c r="G22" s="53">
        <f>'DOE25'!L255+'DOE25'!L336</f>
        <v>55717.93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321779.57</v>
      </c>
      <c r="D29" s="284">
        <f>'DOE25'!L358+'DOE25'!L359+'DOE25'!L360-'DOE25'!I367-F29-G29-H29</f>
        <v>315248.03000000003</v>
      </c>
      <c r="E29" s="243"/>
      <c r="F29" s="244"/>
      <c r="G29" s="53">
        <f>'DOE25'!J358+'DOE25'!J359+'DOE25'!J360</f>
        <v>0</v>
      </c>
      <c r="H29" s="53">
        <f>'DOE25'!K358+'DOE25'!K359+'DOE25'!K360</f>
        <v>6531.5399999999991</v>
      </c>
      <c r="I29" s="256"/>
    </row>
    <row r="30" spans="1:9" x14ac:dyDescent="0.2">
      <c r="A30" s="32"/>
      <c r="C30" s="277"/>
      <c r="D30" s="20"/>
      <c r="E30" s="281"/>
      <c r="F30" s="271"/>
      <c r="G30" s="53"/>
      <c r="H30" s="53"/>
      <c r="I30" s="256"/>
    </row>
    <row r="31" spans="1:9" x14ac:dyDescent="0.2">
      <c r="A31" s="32" t="s">
        <v>818</v>
      </c>
      <c r="B31" t="s">
        <v>817</v>
      </c>
      <c r="C31" s="276">
        <f>SUM(D31:I31)</f>
        <v>506295.63</v>
      </c>
      <c r="D31" s="20">
        <f>'DOE25'!L290+'DOE25'!L309+'DOE25'!L328+'DOE25'!L333+'DOE25'!L334+'DOE25'!L335-F31-G31-H31</f>
        <v>481339.70999999996</v>
      </c>
      <c r="E31" s="243"/>
      <c r="F31" s="244"/>
      <c r="G31" s="53">
        <f>'DOE25'!J290+'DOE25'!J309+'DOE25'!J328+'DOE25'!J333+'DOE25'!J334+'DOE25'!J335</f>
        <v>8191.34</v>
      </c>
      <c r="H31" s="53">
        <f>'DOE25'!K290+'DOE25'!K309+'DOE25'!K328+'DOE25'!K333+'DOE25'!K334+'DOE25'!K335</f>
        <v>16764.580000000002</v>
      </c>
      <c r="I31" s="256"/>
    </row>
    <row r="32" spans="1:9" ht="12" thickBot="1" x14ac:dyDescent="0.25">
      <c r="C32" s="277"/>
      <c r="G32" s="251"/>
      <c r="H32" s="251"/>
      <c r="I32" s="258"/>
    </row>
    <row r="33" spans="1:9" ht="12" thickTop="1" x14ac:dyDescent="0.2">
      <c r="B33" t="s">
        <v>809</v>
      </c>
      <c r="D33" s="245">
        <f t="shared" ref="D33:I33" si="1">SUM(D5:D31)</f>
        <v>19215987.161217656</v>
      </c>
      <c r="E33" s="245">
        <f t="shared" si="1"/>
        <v>1234217.7134550991</v>
      </c>
      <c r="F33" s="245">
        <f t="shared" si="1"/>
        <v>1124385.9500000002</v>
      </c>
      <c r="G33" s="245">
        <f t="shared" si="1"/>
        <v>424795.63</v>
      </c>
      <c r="H33" s="245">
        <f t="shared" si="1"/>
        <v>123792.4314155251</v>
      </c>
      <c r="I33" s="245">
        <f t="shared" si="1"/>
        <v>0</v>
      </c>
    </row>
    <row r="35" spans="1:9" ht="12" thickBot="1" x14ac:dyDescent="0.25">
      <c r="B35" s="251" t="s">
        <v>831</v>
      </c>
      <c r="D35" s="252">
        <f>E33</f>
        <v>1234217.7134550991</v>
      </c>
      <c r="E35" s="248"/>
    </row>
    <row r="36" spans="1:9" ht="12" thickTop="1" x14ac:dyDescent="0.2">
      <c r="B36" t="s">
        <v>810</v>
      </c>
      <c r="D36" s="20">
        <f>D33</f>
        <v>19215987.161217656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26" sqref="A2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SAU 27 - Litchfield School District</v>
      </c>
      <c r="B2" s="126">
        <f>'DOE25'!B2</f>
        <v>315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7411813.5816889247</v>
      </c>
      <c r="G4" s="303">
        <f>'DOE25'!L211+'DOE25'!L290</f>
        <v>7411813.5816889247</v>
      </c>
      <c r="H4" s="304">
        <f>F4-G4</f>
        <v>0</v>
      </c>
      <c r="I4" s="310" t="str">
        <f>IF(H4=0,"","Does not match DOE25 page 7 and 11 Totals!!")</f>
        <v/>
      </c>
      <c r="N4"/>
    </row>
    <row r="5" spans="1:18" x14ac:dyDescent="0.2">
      <c r="A5" s="21" t="s">
        <v>1209</v>
      </c>
      <c r="B5" s="305">
        <f>IFERROR(VLOOKUP(A5,'School Tables'!$C$3:$D$368,2,FALSE),"")</f>
        <v>21095</v>
      </c>
      <c r="C5" s="297" t="str">
        <f>IFERROR(INDEX('School Tables'!$B$3:$B$368,MATCH('School Level Expenditures'!B5,'School Tables'!$D$3:$D$368,0)),"")</f>
        <v>Litchfield</v>
      </c>
      <c r="D5" s="294">
        <v>7167196.9516889248</v>
      </c>
      <c r="E5" s="294">
        <f>+'DOE25'!L290</f>
        <v>244616.63000000003</v>
      </c>
      <c r="F5" s="313">
        <f>D5+E5</f>
        <v>7411813.5816889247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6609083.0002806569</v>
      </c>
      <c r="G24" s="303">
        <f>'DOE25'!L229+'DOE25'!L309</f>
        <v>6609083.0002806569</v>
      </c>
      <c r="H24" s="304">
        <f>F24-G24</f>
        <v>0</v>
      </c>
      <c r="I24" s="310" t="str">
        <f>IF(H24=0,"","Does not match DOE25 page 8 and 12 Totals!!")</f>
        <v/>
      </c>
      <c r="N24"/>
    </row>
    <row r="25" spans="1:14" x14ac:dyDescent="0.2">
      <c r="A25" s="21" t="s">
        <v>1211</v>
      </c>
      <c r="B25" s="305">
        <f>IFERROR(VLOOKUP(A25,'School Tables'!$I$3:$J$80,2,FALSE),"")</f>
        <v>26640</v>
      </c>
      <c r="C25" s="297" t="str">
        <f t="array" ref="C25">IFERROR(INDEX('School Tables'!$H$3:$H$80,MATCH('School Level Expenditures'!B25,'School Tables'!$J$3:$J$80,0)),"")</f>
        <v>Litchfield</v>
      </c>
      <c r="D25" s="294">
        <f>+'DOE25'!L229</f>
        <v>6488253.1702806568</v>
      </c>
      <c r="E25" s="294">
        <f>+'DOE25'!L309</f>
        <v>120829.82999999999</v>
      </c>
      <c r="F25" s="308">
        <f>D25+E25</f>
        <v>6609083.0002806569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7709784.8041186985</v>
      </c>
      <c r="G36" s="303">
        <f>'DOE25'!L247+'DOE25'!L328</f>
        <v>7709784.8041186985</v>
      </c>
      <c r="H36" s="304">
        <f>F36-G36</f>
        <v>0</v>
      </c>
      <c r="I36" s="310" t="str">
        <f>IF(H36=0,"","Does not match DOE25 page 9 and 13 Totals!!")</f>
        <v/>
      </c>
      <c r="N36"/>
    </row>
    <row r="37" spans="1:14" x14ac:dyDescent="0.2">
      <c r="A37" s="21" t="s">
        <v>1210</v>
      </c>
      <c r="B37" s="305">
        <f>IFERROR(VLOOKUP(A37,'School Tables'!$O$3:$P$122,2,FALSE),"")</f>
        <v>27715</v>
      </c>
      <c r="C37" s="297" t="str">
        <f t="array" ref="C37">IFERROR(INDEX('School Tables'!$N$3:$N$122,MATCH('School Level Expenditures'!B37,'School Tables'!$P$3:$P$122,0)),"")</f>
        <v>Litchfield</v>
      </c>
      <c r="D37" s="294">
        <f>+'DOE25'!L247</f>
        <v>7568935.6341186985</v>
      </c>
      <c r="E37" s="294">
        <f>+'DOE25'!L328</f>
        <v>140849.17000000001</v>
      </c>
      <c r="F37" s="308">
        <f t="shared" ref="F37:F42" si="2">D37+E37</f>
        <v>7709784.8041186985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si="2"/>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si="2"/>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48" activePane="bottomLeft" state="frozen"/>
      <selection activeCell="F46" sqref="F46"/>
      <selection pane="bottomLeft" activeCell="C76" sqref="C7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SAU 27 - Litchfield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1288292.8400000001</v>
      </c>
      <c r="D8" s="95">
        <f>'DOE25'!G9</f>
        <v>0</v>
      </c>
      <c r="E8" s="95">
        <f>'DOE25'!H9</f>
        <v>7239.91</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29354.11</v>
      </c>
      <c r="D11" s="95">
        <f>'DOE25'!G12</f>
        <v>40257.589999999997</v>
      </c>
      <c r="E11" s="95">
        <f>'DOE25'!H12</f>
        <v>0</v>
      </c>
      <c r="F11" s="95">
        <f>'DOE25'!I12</f>
        <v>0</v>
      </c>
      <c r="G11" s="95">
        <f>'DOE25'!J12</f>
        <v>1738</v>
      </c>
      <c r="H11" s="124"/>
      <c r="I11" s="124"/>
    </row>
    <row r="12" spans="1:9" x14ac:dyDescent="0.2">
      <c r="A12" s="1" t="s">
        <v>143</v>
      </c>
      <c r="B12" s="6">
        <v>140</v>
      </c>
      <c r="C12" s="95">
        <f>'DOE25'!F13</f>
        <v>5292.67</v>
      </c>
      <c r="D12" s="95">
        <f>'DOE25'!G13</f>
        <v>4960.9799999999996</v>
      </c>
      <c r="E12" s="95">
        <f>'DOE25'!H13</f>
        <v>71085.83</v>
      </c>
      <c r="F12" s="95">
        <f>'DOE25'!I13</f>
        <v>0</v>
      </c>
      <c r="G12" s="95">
        <f>'DOE25'!J13</f>
        <v>368818.91</v>
      </c>
      <c r="H12" s="124"/>
      <c r="I12" s="124"/>
    </row>
    <row r="13" spans="1:9" x14ac:dyDescent="0.2">
      <c r="A13" s="1" t="s">
        <v>144</v>
      </c>
      <c r="B13" s="6">
        <v>150</v>
      </c>
      <c r="C13" s="95">
        <f>'DOE25'!F14</f>
        <v>7605.86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1925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1332470.4800000002</v>
      </c>
      <c r="D18" s="41">
        <f>SUM(D8:D17)</f>
        <v>45218.569999999992</v>
      </c>
      <c r="E18" s="41">
        <f>SUM(E8:E17)</f>
        <v>78325.740000000005</v>
      </c>
      <c r="F18" s="41">
        <f>SUM(F8:F17)</f>
        <v>0</v>
      </c>
      <c r="G18" s="41">
        <f>SUM(G8:G17)</f>
        <v>370556.91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51586.61</v>
      </c>
      <c r="D21" s="95">
        <f>'DOE25'!G22</f>
        <v>29354.18</v>
      </c>
      <c r="E21" s="95">
        <f>'DOE25'!H22</f>
        <v>5146.3599999999997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101685.29</v>
      </c>
      <c r="D23" s="95">
        <f>'DOE25'!G24</f>
        <v>0</v>
      </c>
      <c r="E23" s="95">
        <f>'DOE25'!H24</f>
        <v>5865.93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24891.75</v>
      </c>
      <c r="D27" s="95">
        <f>'DOE25'!G28</f>
        <v>0</v>
      </c>
      <c r="E27" s="95">
        <f>'DOE25'!H28</f>
        <v>0</v>
      </c>
      <c r="F27" s="95">
        <f>'DOE25'!I28</f>
        <v>0</v>
      </c>
      <c r="G27" s="24" t="s">
        <v>288</v>
      </c>
      <c r="H27" s="124"/>
      <c r="I27" s="124"/>
    </row>
    <row r="28" spans="1:9" x14ac:dyDescent="0.2">
      <c r="A28" s="1" t="s">
        <v>157</v>
      </c>
      <c r="B28" s="6">
        <v>470</v>
      </c>
      <c r="C28" s="95">
        <f>'DOE25'!F29</f>
        <v>700720.61</v>
      </c>
      <c r="D28" s="95">
        <f>'DOE25'!G29</f>
        <v>0</v>
      </c>
      <c r="E28" s="95">
        <f>'DOE25'!H29</f>
        <v>0</v>
      </c>
      <c r="F28" s="95">
        <f>'DOE25'!I29</f>
        <v>0</v>
      </c>
      <c r="G28" s="24" t="s">
        <v>288</v>
      </c>
      <c r="H28" s="124"/>
      <c r="I28" s="124"/>
    </row>
    <row r="29" spans="1:9" x14ac:dyDescent="0.2">
      <c r="A29" s="1" t="s">
        <v>158</v>
      </c>
      <c r="B29" s="6">
        <v>480</v>
      </c>
      <c r="C29" s="95">
        <f>'DOE25'!F30</f>
        <v>7461.6</v>
      </c>
      <c r="D29" s="95">
        <f>'DOE25'!G30</f>
        <v>15864.39</v>
      </c>
      <c r="E29" s="95">
        <f>'DOE25'!H30</f>
        <v>67313.45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886345.86</v>
      </c>
      <c r="D31" s="41">
        <f>SUM(D21:D30)</f>
        <v>45218.57</v>
      </c>
      <c r="E31" s="41">
        <f>SUM(E21:E30)</f>
        <v>78325.739999999991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1925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370556.91</v>
      </c>
      <c r="H47" s="124"/>
      <c r="I47" s="124"/>
    </row>
    <row r="48" spans="1:9" x14ac:dyDescent="0.2">
      <c r="A48" s="1" t="s">
        <v>882</v>
      </c>
      <c r="B48" s="6">
        <v>753</v>
      </c>
      <c r="C48" s="95">
        <f>'DOE25'!F49</f>
        <v>194702</v>
      </c>
      <c r="D48" s="95">
        <f>'DOE25'!G49</f>
        <v>0</v>
      </c>
      <c r="E48" s="95">
        <f>'DOE25'!H49</f>
        <v>0</v>
      </c>
      <c r="F48" s="95">
        <f>'DOE25'!I49</f>
        <v>0</v>
      </c>
      <c r="G48" s="95">
        <f>'DOE25'!J49</f>
        <v>0</v>
      </c>
      <c r="H48" s="124"/>
      <c r="I48" s="124"/>
    </row>
    <row r="49" spans="1:9" ht="12" thickBot="1" x14ac:dyDescent="0.25">
      <c r="A49" s="29" t="s">
        <v>883</v>
      </c>
      <c r="B49" s="71">
        <v>770</v>
      </c>
      <c r="C49" s="95">
        <f>'DOE25'!F50</f>
        <v>149497.62</v>
      </c>
      <c r="D49" s="24" t="s">
        <v>288</v>
      </c>
      <c r="E49" s="24" t="s">
        <v>288</v>
      </c>
      <c r="F49" s="24" t="s">
        <v>288</v>
      </c>
      <c r="G49" s="24" t="s">
        <v>288</v>
      </c>
      <c r="H49" s="124"/>
      <c r="I49" s="124"/>
    </row>
    <row r="50" spans="1:9" ht="12.75" thickTop="1" thickBot="1" x14ac:dyDescent="0.25">
      <c r="A50" s="38" t="s">
        <v>884</v>
      </c>
      <c r="B50" s="48"/>
      <c r="C50" s="41">
        <f>SUM(C34:C49)</f>
        <v>446124.62</v>
      </c>
      <c r="D50" s="41">
        <f>SUM(D34:D49)</f>
        <v>0</v>
      </c>
      <c r="E50" s="41">
        <f>SUM(E34:E49)</f>
        <v>0</v>
      </c>
      <c r="F50" s="41">
        <f>SUM(F34:F49)</f>
        <v>0</v>
      </c>
      <c r="G50" s="41">
        <f>SUM(G34:G49)</f>
        <v>370556.91</v>
      </c>
      <c r="H50" s="124"/>
      <c r="I50" s="124"/>
    </row>
    <row r="51" spans="1:9" ht="12" thickTop="1" x14ac:dyDescent="0.2">
      <c r="A51" s="38" t="s">
        <v>885</v>
      </c>
      <c r="B51" s="2"/>
      <c r="C51" s="41">
        <f>C50+C31</f>
        <v>1332470.48</v>
      </c>
      <c r="D51" s="41">
        <f>D50+D31</f>
        <v>45218.57</v>
      </c>
      <c r="E51" s="41">
        <f>E50+E31</f>
        <v>78325.739999999991</v>
      </c>
      <c r="F51" s="41">
        <f>F50+F31</f>
        <v>0</v>
      </c>
      <c r="G51" s="41">
        <f>G50+G31</f>
        <v>370556.91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13687119</v>
      </c>
      <c r="D56" s="95">
        <f>'DOE25'!G60</f>
        <v>0</v>
      </c>
      <c r="E56" s="95">
        <f>'DOE25'!H60</f>
        <v>0</v>
      </c>
      <c r="F56" s="95">
        <f>'DOE25'!I60</f>
        <v>0</v>
      </c>
      <c r="G56" s="95">
        <f>'DOE25'!J60</f>
        <v>0</v>
      </c>
      <c r="H56"/>
      <c r="I56"/>
    </row>
    <row r="57" spans="1:9" x14ac:dyDescent="0.2">
      <c r="A57" s="1" t="s">
        <v>164</v>
      </c>
      <c r="B57" s="6" t="s">
        <v>165</v>
      </c>
      <c r="C57" s="95">
        <f>'DOE25'!F79</f>
        <v>44470.400000000001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6889.82</v>
      </c>
      <c r="D59" s="95">
        <f>'DOE25'!G96</f>
        <v>1.73</v>
      </c>
      <c r="E59" s="95">
        <f>'DOE25'!H96</f>
        <v>0</v>
      </c>
      <c r="F59" s="95">
        <f>'DOE25'!I96</f>
        <v>0</v>
      </c>
      <c r="G59" s="95">
        <f>'DOE25'!J96</f>
        <v>4592.45</v>
      </c>
      <c r="H59"/>
      <c r="I59"/>
    </row>
    <row r="60" spans="1:9" x14ac:dyDescent="0.2">
      <c r="A60" s="1" t="s">
        <v>170</v>
      </c>
      <c r="B60" s="118" t="s">
        <v>171</v>
      </c>
      <c r="C60" s="24" t="s">
        <v>288</v>
      </c>
      <c r="D60" s="95">
        <f>'DOE25'!G97</f>
        <v>361962.58</v>
      </c>
      <c r="E60" s="24" t="s">
        <v>288</v>
      </c>
      <c r="F60" s="24" t="s">
        <v>288</v>
      </c>
      <c r="G60" s="24" t="s">
        <v>288</v>
      </c>
      <c r="H60"/>
      <c r="I60"/>
    </row>
    <row r="61" spans="1:9" ht="12" thickBot="1" x14ac:dyDescent="0.25">
      <c r="A61" s="1" t="s">
        <v>172</v>
      </c>
      <c r="B61" s="118" t="s">
        <v>173</v>
      </c>
      <c r="C61" s="95">
        <f>SUM('DOE25'!F98:F110)</f>
        <v>19919.760000000002</v>
      </c>
      <c r="D61" s="95">
        <f>SUM('DOE25'!G98:G110)</f>
        <v>0</v>
      </c>
      <c r="E61" s="95">
        <f>SUM('DOE25'!H98:H110)</f>
        <v>13840.93</v>
      </c>
      <c r="F61" s="95">
        <f>SUM('DOE25'!I98:I110)</f>
        <v>148107.5</v>
      </c>
      <c r="G61" s="95">
        <f>SUM('DOE25'!J98:J110)</f>
        <v>0</v>
      </c>
      <c r="H61"/>
      <c r="I61"/>
    </row>
    <row r="62" spans="1:9" ht="12.75" thickTop="1" thickBot="1" x14ac:dyDescent="0.25">
      <c r="A62" s="29" t="s">
        <v>174</v>
      </c>
      <c r="B62" s="6"/>
      <c r="C62" s="130">
        <f>SUM(C57:C61)</f>
        <v>71279.98000000001</v>
      </c>
      <c r="D62" s="130">
        <f>SUM(D57:D61)</f>
        <v>361964.31</v>
      </c>
      <c r="E62" s="130">
        <f>SUM(E57:E61)</f>
        <v>13840.93</v>
      </c>
      <c r="F62" s="130">
        <f>SUM(F57:F61)</f>
        <v>148107.5</v>
      </c>
      <c r="G62" s="130">
        <f>SUM(G57:G61)</f>
        <v>4592.45</v>
      </c>
      <c r="H62"/>
      <c r="I62"/>
    </row>
    <row r="63" spans="1:9" ht="12" thickTop="1" x14ac:dyDescent="0.2">
      <c r="A63" s="29" t="s">
        <v>175</v>
      </c>
      <c r="B63" s="6"/>
      <c r="C63" s="22">
        <f>C56+C62</f>
        <v>13758398.98</v>
      </c>
      <c r="D63" s="22">
        <f>D56+D62</f>
        <v>361964.31</v>
      </c>
      <c r="E63" s="22">
        <f>E56+E62</f>
        <v>13840.93</v>
      </c>
      <c r="F63" s="22">
        <f>F56+F62</f>
        <v>148107.5</v>
      </c>
      <c r="G63" s="22">
        <f>G56+G62</f>
        <v>4592.45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5156761.6500000004</v>
      </c>
      <c r="D66" s="24" t="s">
        <v>288</v>
      </c>
      <c r="E66" s="24" t="s">
        <v>288</v>
      </c>
      <c r="F66" s="24" t="s">
        <v>288</v>
      </c>
      <c r="G66" s="24" t="s">
        <v>288</v>
      </c>
      <c r="H66"/>
      <c r="I66"/>
    </row>
    <row r="67" spans="1:9" x14ac:dyDescent="0.2">
      <c r="A67" s="1" t="s">
        <v>770</v>
      </c>
      <c r="B67" s="6">
        <v>3112</v>
      </c>
      <c r="C67" s="95">
        <f>'DOE25'!F118</f>
        <v>1918836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2151.6999999999998</v>
      </c>
      <c r="D69" s="95">
        <f>'DOE25'!G120</f>
        <v>0</v>
      </c>
      <c r="E69" s="95">
        <f>'DOE25'!H120</f>
        <v>0</v>
      </c>
      <c r="F69" s="95">
        <f>'DOE25'!I120</f>
        <v>0</v>
      </c>
      <c r="G69" s="95">
        <f>'DOE25'!J120</f>
        <v>0</v>
      </c>
      <c r="H69"/>
      <c r="I69"/>
    </row>
    <row r="70" spans="1:9" ht="12" thickTop="1" x14ac:dyDescent="0.2">
      <c r="A70" s="29" t="s">
        <v>252</v>
      </c>
      <c r="B70" s="2"/>
      <c r="C70" s="139">
        <f>SUM(C66:C69)</f>
        <v>7077749.3500000006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88000</v>
      </c>
      <c r="D74" s="24"/>
      <c r="E74" s="24"/>
      <c r="F74" s="24"/>
      <c r="G74" s="24"/>
      <c r="H74"/>
      <c r="I74"/>
    </row>
    <row r="75" spans="1:9" x14ac:dyDescent="0.2">
      <c r="A75" s="1" t="s">
        <v>256</v>
      </c>
      <c r="B75" s="6">
        <v>3230</v>
      </c>
      <c r="C75" s="95">
        <f>'DOE25'!F126</f>
        <v>87356.95</v>
      </c>
      <c r="D75" s="24" t="s">
        <v>288</v>
      </c>
      <c r="E75" s="24" t="s">
        <v>288</v>
      </c>
      <c r="F75" s="24" t="s">
        <v>288</v>
      </c>
      <c r="G75" s="24" t="s">
        <v>288</v>
      </c>
      <c r="H75"/>
      <c r="I75"/>
    </row>
    <row r="76" spans="1:9" x14ac:dyDescent="0.2">
      <c r="A76" s="1" t="s">
        <v>257</v>
      </c>
      <c r="B76" s="6" t="s">
        <v>179</v>
      </c>
      <c r="C76" s="95">
        <f>SUM('DOE25'!F127:F130)</f>
        <v>9623.76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4539.16</v>
      </c>
      <c r="E77" s="95">
        <f>SUM('DOE25'!H131:H135)</f>
        <v>11864.58</v>
      </c>
      <c r="F77" s="95">
        <f>SUM('DOE25'!I131:I135)</f>
        <v>63280</v>
      </c>
      <c r="G77" s="95">
        <f>SUM('DOE25'!J131:J135)</f>
        <v>0</v>
      </c>
      <c r="H77"/>
      <c r="I77"/>
    </row>
    <row r="78" spans="1:9" ht="12.75" thickTop="1" thickBot="1" x14ac:dyDescent="0.25">
      <c r="A78" s="29" t="s">
        <v>259</v>
      </c>
      <c r="B78" s="6"/>
      <c r="C78" s="130">
        <f>SUM(C72:C77)</f>
        <v>184980.71000000002</v>
      </c>
      <c r="D78" s="130">
        <f>SUM(D72:D77)</f>
        <v>4539.16</v>
      </c>
      <c r="E78" s="130">
        <f>SUM(E72:E77)</f>
        <v>11864.58</v>
      </c>
      <c r="F78" s="130">
        <f>SUM(F72:F77)</f>
        <v>63280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7262730.0600000005</v>
      </c>
      <c r="D81" s="130">
        <f>SUM(D79:D80)+D78+D70</f>
        <v>4539.16</v>
      </c>
      <c r="E81" s="130">
        <f>SUM(E79:E80)+E78+E70</f>
        <v>11864.58</v>
      </c>
      <c r="F81" s="130">
        <f>SUM(F79:F80)+F78+F70</f>
        <v>63280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139805.35999999999</v>
      </c>
      <c r="D88" s="95">
        <f>SUM('DOE25'!G153:G161)</f>
        <v>85570</v>
      </c>
      <c r="E88" s="95">
        <f>SUM('DOE25'!H153:H161)</f>
        <v>494431.05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139805.35999999999</v>
      </c>
      <c r="D91" s="131">
        <f>SUM(D85:D90)</f>
        <v>85570</v>
      </c>
      <c r="E91" s="131">
        <f>SUM(E85:E90)</f>
        <v>494431.05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40257</v>
      </c>
      <c r="E96" s="95">
        <f>'DOE25'!H179</f>
        <v>0</v>
      </c>
      <c r="F96" s="95">
        <f>'DOE25'!I179</f>
        <v>326726.61</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1738</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40257</v>
      </c>
      <c r="E103" s="86">
        <f>SUM(E93:E102)</f>
        <v>0</v>
      </c>
      <c r="F103" s="86">
        <f>SUM(F93:F102)</f>
        <v>326726.61</v>
      </c>
      <c r="G103" s="86">
        <f>SUM(G93:G102)</f>
        <v>51738</v>
      </c>
    </row>
    <row r="104" spans="1:7" ht="12.75" thickTop="1" thickBot="1" x14ac:dyDescent="0.25">
      <c r="A104" s="33" t="s">
        <v>761</v>
      </c>
      <c r="C104" s="86">
        <f>C63+C81+C91+C103</f>
        <v>21160934.399999999</v>
      </c>
      <c r="D104" s="86">
        <f>D63+D81+D91+D103</f>
        <v>492330.47</v>
      </c>
      <c r="E104" s="86">
        <f>E63+E81+E91+E103</f>
        <v>520136.56</v>
      </c>
      <c r="F104" s="86">
        <f>F63+F81+F91+F103</f>
        <v>538114.11</v>
      </c>
      <c r="G104" s="86">
        <f>G63+G81+G103</f>
        <v>56330.45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8725956.5912176557</v>
      </c>
      <c r="D109" s="24" t="s">
        <v>288</v>
      </c>
      <c r="E109" s="95">
        <f>('DOE25'!L276)+('DOE25'!L295)+('DOE25'!L314)</f>
        <v>103998.65000000001</v>
      </c>
      <c r="F109" s="24" t="s">
        <v>288</v>
      </c>
      <c r="G109" s="24" t="s">
        <v>288</v>
      </c>
    </row>
    <row r="110" spans="1:7" x14ac:dyDescent="0.2">
      <c r="A110" t="s">
        <v>198</v>
      </c>
      <c r="B110" s="32" t="s">
        <v>199</v>
      </c>
      <c r="C110" s="95">
        <f>('DOE25'!L198)+('DOE25'!L216)+('DOE25'!L234)</f>
        <v>3077409.91</v>
      </c>
      <c r="D110" s="24" t="s">
        <v>288</v>
      </c>
      <c r="E110" s="95">
        <f>('DOE25'!L277)+('DOE25'!L296)+('DOE25'!L315)</f>
        <v>146654.09</v>
      </c>
      <c r="F110" s="24" t="s">
        <v>288</v>
      </c>
      <c r="G110" s="24" t="s">
        <v>288</v>
      </c>
    </row>
    <row r="111" spans="1:7" x14ac:dyDescent="0.2">
      <c r="A111" t="s">
        <v>200</v>
      </c>
      <c r="B111" s="32" t="s">
        <v>165</v>
      </c>
      <c r="C111" s="95">
        <f>('DOE25'!L199)+('DOE25'!L217)+('DOE25'!L235)</f>
        <v>48535.14</v>
      </c>
      <c r="D111" s="24" t="s">
        <v>288</v>
      </c>
      <c r="E111" s="95">
        <f>('DOE25'!L278)+('DOE25'!L297)+('DOE25'!L316)</f>
        <v>0</v>
      </c>
      <c r="F111" s="24" t="s">
        <v>288</v>
      </c>
      <c r="G111" s="24" t="s">
        <v>288</v>
      </c>
    </row>
    <row r="112" spans="1:7" x14ac:dyDescent="0.2">
      <c r="A112" t="s">
        <v>201</v>
      </c>
      <c r="B112" s="32" t="s">
        <v>167</v>
      </c>
      <c r="C112" s="95">
        <f>('DOE25'!L200)+('DOE25'!L218)+('DOE25'!L236)</f>
        <v>538492.92000000004</v>
      </c>
      <c r="D112" s="24" t="s">
        <v>288</v>
      </c>
      <c r="E112" s="95">
        <f>+('DOE25'!L279)+('DOE25'!L298)+('DOE25'!L317)</f>
        <v>14747.34</v>
      </c>
      <c r="F112" s="24" t="s">
        <v>288</v>
      </c>
      <c r="G112" s="24" t="s">
        <v>288</v>
      </c>
    </row>
    <row r="113" spans="1:7" x14ac:dyDescent="0.2">
      <c r="A113" t="s">
        <v>202</v>
      </c>
      <c r="B113" s="32" t="s">
        <v>169</v>
      </c>
      <c r="C113" s="95">
        <f>'DOE25'!L250</f>
        <v>6985.6100000000006</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12397380.171217656</v>
      </c>
      <c r="D115" s="86">
        <f>SUM(D109:D114)</f>
        <v>0</v>
      </c>
      <c r="E115" s="86">
        <f>SUM(E109:E114)</f>
        <v>265400.08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1771820.81</v>
      </c>
      <c r="D118" s="24" t="s">
        <v>288</v>
      </c>
      <c r="E118" s="95">
        <f>+('DOE25'!L281)+('DOE25'!L300)+('DOE25'!L319)</f>
        <v>130204.60999999999</v>
      </c>
      <c r="F118" s="24" t="s">
        <v>288</v>
      </c>
      <c r="G118" s="24" t="s">
        <v>288</v>
      </c>
    </row>
    <row r="119" spans="1:7" x14ac:dyDescent="0.2">
      <c r="A119" t="s">
        <v>208</v>
      </c>
      <c r="B119" s="32" t="s">
        <v>209</v>
      </c>
      <c r="C119" s="95">
        <f>('DOE25'!L203)+('DOE25'!L221)+('DOE25'!L239)</f>
        <v>715507.04</v>
      </c>
      <c r="D119" s="24" t="s">
        <v>288</v>
      </c>
      <c r="E119" s="95">
        <f>+('DOE25'!L282)+('DOE25'!L301)+('DOE25'!L320)</f>
        <v>53705.94</v>
      </c>
      <c r="F119" s="24" t="s">
        <v>288</v>
      </c>
      <c r="G119" s="24" t="s">
        <v>288</v>
      </c>
    </row>
    <row r="120" spans="1:7" x14ac:dyDescent="0.2">
      <c r="A120" t="s">
        <v>210</v>
      </c>
      <c r="B120" s="32" t="s">
        <v>211</v>
      </c>
      <c r="C120" s="95">
        <f>('DOE25'!L204)+('DOE25'!L222)+('DOE25'!L240)</f>
        <v>687970.44000000006</v>
      </c>
      <c r="D120" s="24" t="s">
        <v>288</v>
      </c>
      <c r="E120" s="95">
        <f>+('DOE25'!L283)+('DOE25'!L302)+('DOE25'!L321)</f>
        <v>0</v>
      </c>
      <c r="F120" s="24" t="s">
        <v>288</v>
      </c>
      <c r="G120" s="24" t="s">
        <v>288</v>
      </c>
    </row>
    <row r="121" spans="1:7" x14ac:dyDescent="0.2">
      <c r="A121" t="s">
        <v>212</v>
      </c>
      <c r="B121" s="32" t="s">
        <v>213</v>
      </c>
      <c r="C121" s="95">
        <f>('DOE25'!L205)+('DOE25'!L223)+('DOE25'!L241)</f>
        <v>1302584.92</v>
      </c>
      <c r="D121" s="24" t="s">
        <v>288</v>
      </c>
      <c r="E121" s="95">
        <f>+('DOE25'!L284)+('DOE25'!L303)+('DOE25'!L322)</f>
        <v>0</v>
      </c>
      <c r="F121" s="24" t="s">
        <v>288</v>
      </c>
      <c r="G121" s="24" t="s">
        <v>288</v>
      </c>
    </row>
    <row r="122" spans="1:7" x14ac:dyDescent="0.2">
      <c r="A122" t="s">
        <v>214</v>
      </c>
      <c r="B122" s="32" t="s">
        <v>215</v>
      </c>
      <c r="C122" s="95">
        <f>('DOE25'!L206)+('DOE25'!L224)+('DOE25'!L242)</f>
        <v>342540.70487062406</v>
      </c>
      <c r="D122" s="24" t="s">
        <v>288</v>
      </c>
      <c r="E122" s="95">
        <f>+('DOE25'!L285)+('DOE25'!L304)+('DOE25'!L323)</f>
        <v>0</v>
      </c>
      <c r="F122" s="24" t="s">
        <v>288</v>
      </c>
      <c r="G122" s="24" t="s">
        <v>288</v>
      </c>
    </row>
    <row r="123" spans="1:7" x14ac:dyDescent="0.2">
      <c r="A123" t="s">
        <v>216</v>
      </c>
      <c r="B123" s="32" t="s">
        <v>217</v>
      </c>
      <c r="C123" s="95">
        <f>('DOE25'!L207)+('DOE25'!L225)+('DOE25'!L243)</f>
        <v>2094252.9099999997</v>
      </c>
      <c r="D123" s="24" t="s">
        <v>288</v>
      </c>
      <c r="E123" s="95">
        <f>+('DOE25'!L286)+('DOE25'!L305)+('DOE25'!L324)</f>
        <v>0</v>
      </c>
      <c r="F123" s="24" t="s">
        <v>288</v>
      </c>
      <c r="G123" s="24" t="s">
        <v>288</v>
      </c>
    </row>
    <row r="124" spans="1:7" x14ac:dyDescent="0.2">
      <c r="A124" t="s">
        <v>218</v>
      </c>
      <c r="B124" s="32" t="s">
        <v>219</v>
      </c>
      <c r="C124" s="95">
        <f>('DOE25'!L208)+('DOE25'!L226)+('DOE25'!L244+'DOE25'!L254)</f>
        <v>1146016.1699999997</v>
      </c>
      <c r="D124" s="24" t="s">
        <v>288</v>
      </c>
      <c r="E124" s="95">
        <f>+('DOE25'!L287)+('DOE25'!L306)+('DOE25'!L325)</f>
        <v>110</v>
      </c>
      <c r="F124" s="24" t="s">
        <v>288</v>
      </c>
      <c r="G124" s="24" t="s">
        <v>288</v>
      </c>
    </row>
    <row r="125" spans="1:7" x14ac:dyDescent="0.2">
      <c r="A125" t="s">
        <v>220</v>
      </c>
      <c r="B125" s="32" t="s">
        <v>221</v>
      </c>
      <c r="C125" s="95">
        <f>('DOE25'!L209)+('DOE25'!L227)+('DOE25'!L245)</f>
        <v>773298.20000000007</v>
      </c>
      <c r="D125" s="24" t="s">
        <v>288</v>
      </c>
      <c r="E125" s="95">
        <f>+('DOE25'!L288)+('DOE25'!L307)+('DOE25'!L326)</f>
        <v>56875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536911.02</v>
      </c>
      <c r="E127" s="24" t="s">
        <v>288</v>
      </c>
      <c r="F127" s="24" t="s">
        <v>288</v>
      </c>
      <c r="G127" s="24" t="s">
        <v>288</v>
      </c>
    </row>
    <row r="128" spans="1:7" ht="12.75" thickTop="1" thickBot="1" x14ac:dyDescent="0.25">
      <c r="A128" s="33" t="s">
        <v>226</v>
      </c>
      <c r="C128" s="86">
        <f>SUM(C118:C127)</f>
        <v>8833991.1948706228</v>
      </c>
      <c r="D128" s="86">
        <f>SUM(D118:D127)</f>
        <v>536911.02</v>
      </c>
      <c r="E128" s="86">
        <f>SUM(E118:E127)</f>
        <v>240895.55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41877</v>
      </c>
      <c r="D130" s="24" t="s">
        <v>288</v>
      </c>
      <c r="E130" s="129">
        <f>'DOE25'!L336</f>
        <v>13840.93</v>
      </c>
      <c r="F130" s="129">
        <f>SUM('DOE25'!L374:'DOE25'!L380)</f>
        <v>445141.24</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1738</v>
      </c>
      <c r="G134" s="95">
        <f>'DOE25'!K434</f>
        <v>0</v>
      </c>
    </row>
    <row r="135" spans="1:7" x14ac:dyDescent="0.2">
      <c r="A135" t="s">
        <v>233</v>
      </c>
      <c r="B135" s="32" t="s">
        <v>234</v>
      </c>
      <c r="C135" s="95">
        <f>'DOE25'!L263</f>
        <v>40257</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326726.61</v>
      </c>
      <c r="D137" s="24" t="s">
        <v>288</v>
      </c>
      <c r="E137" s="129">
        <f>'DOE25'!L346</f>
        <v>0</v>
      </c>
      <c r="F137" s="24" t="s">
        <v>288</v>
      </c>
      <c r="G137" s="24" t="s">
        <v>288</v>
      </c>
    </row>
    <row r="138" spans="1:7" x14ac:dyDescent="0.2">
      <c r="A138" t="s">
        <v>238</v>
      </c>
      <c r="B138" s="32">
        <v>5251</v>
      </c>
      <c r="C138" s="95">
        <f>'DOE25'!L393</f>
        <v>54041.14</v>
      </c>
      <c r="D138" s="24" t="s">
        <v>288</v>
      </c>
      <c r="E138" s="24" t="s">
        <v>288</v>
      </c>
      <c r="F138" s="24" t="s">
        <v>288</v>
      </c>
      <c r="G138" s="24" t="s">
        <v>288</v>
      </c>
    </row>
    <row r="139" spans="1:7" x14ac:dyDescent="0.2">
      <c r="A139" t="s">
        <v>239</v>
      </c>
      <c r="B139" s="32">
        <v>5252</v>
      </c>
      <c r="C139" s="95">
        <f>'DOE25'!L401</f>
        <v>2289.31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-6330.4499999999971</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458860.61</v>
      </c>
      <c r="D144" s="141">
        <f>SUM(D130:D143)</f>
        <v>0</v>
      </c>
      <c r="E144" s="141">
        <f>SUM(E130:E143)</f>
        <v>13840.93</v>
      </c>
      <c r="F144" s="141">
        <f>SUM(F130:F143)</f>
        <v>446879.24</v>
      </c>
      <c r="G144" s="141">
        <f>SUM(G130:G143)</f>
        <v>0</v>
      </c>
    </row>
    <row r="145" spans="1:9" ht="12.75" thickTop="1" thickBot="1" x14ac:dyDescent="0.25">
      <c r="A145" s="33" t="s">
        <v>244</v>
      </c>
      <c r="C145" s="86">
        <f>(C115+C128+C144)</f>
        <v>21690231.976088278</v>
      </c>
      <c r="D145" s="86">
        <f>(D115+D128+D144)</f>
        <v>536911.02</v>
      </c>
      <c r="E145" s="86">
        <f>(E115+E128+E144)</f>
        <v>520136.56</v>
      </c>
      <c r="F145" s="86">
        <f>(F115+F128+F144)</f>
        <v>446879.24</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SAU 27 - Litchfield School District</v>
      </c>
    </row>
    <row r="3" spans="1:4" x14ac:dyDescent="0.2">
      <c r="B3" s="188" t="s">
        <v>1602</v>
      </c>
    </row>
    <row r="4" spans="1:4" x14ac:dyDescent="0.2">
      <c r="B4" t="s">
        <v>61</v>
      </c>
      <c r="C4" s="179">
        <f>IF('DOE25'!F665+'DOE25'!F670=0,0,ROUND('DOE25'!F672,0))</f>
        <v>15985</v>
      </c>
    </row>
    <row r="5" spans="1:4" x14ac:dyDescent="0.2">
      <c r="B5" t="s">
        <v>700</v>
      </c>
      <c r="C5" s="179">
        <f>IF('DOE25'!G665+'DOE25'!G670=0,0,ROUND('DOE25'!G672,0))</f>
        <v>15406</v>
      </c>
    </row>
    <row r="6" spans="1:4" x14ac:dyDescent="0.2">
      <c r="B6" t="s">
        <v>62</v>
      </c>
      <c r="C6" s="179">
        <f>IF('DOE25'!H665+'DOE25'!H670=0,0,ROUND('DOE25'!H672,0))</f>
        <v>16250</v>
      </c>
    </row>
    <row r="7" spans="1:4" x14ac:dyDescent="0.2">
      <c r="B7" t="s">
        <v>701</v>
      </c>
      <c r="C7" s="179">
        <f>IF('DOE25'!I665+'DOE25'!I670=0,0,ROUND('DOE25'!I672,0))</f>
        <v>15887</v>
      </c>
    </row>
    <row r="9" spans="1:4" x14ac:dyDescent="0.2">
      <c r="A9" s="187" t="s">
        <v>94</v>
      </c>
      <c r="B9" s="188" t="s">
        <v>1603</v>
      </c>
      <c r="C9" s="181" t="s">
        <v>720</v>
      </c>
      <c r="D9" s="181" t="s">
        <v>721</v>
      </c>
    </row>
    <row r="10" spans="1:4" x14ac:dyDescent="0.2">
      <c r="A10">
        <v>1100</v>
      </c>
      <c r="B10" t="s">
        <v>702</v>
      </c>
      <c r="C10" s="179">
        <f>ROUND('DOE25'!L197+'DOE25'!L215+'DOE25'!L233+'DOE25'!L276+'DOE25'!L295+'DOE25'!L314,0)</f>
        <v>8829955</v>
      </c>
      <c r="D10" s="182">
        <f>ROUND((C10/$C$28)*100,1)</f>
        <v>40.299999999999997</v>
      </c>
    </row>
    <row r="11" spans="1:4" x14ac:dyDescent="0.2">
      <c r="A11">
        <v>1200</v>
      </c>
      <c r="B11" t="s">
        <v>703</v>
      </c>
      <c r="C11" s="179">
        <f>ROUND('DOE25'!L198+'DOE25'!L216+'DOE25'!L234+'DOE25'!L277+'DOE25'!L296+'DOE25'!L315,0)</f>
        <v>3224064</v>
      </c>
      <c r="D11" s="182">
        <f>ROUND((C11/$C$28)*100,1)</f>
        <v>14.7</v>
      </c>
    </row>
    <row r="12" spans="1:4" x14ac:dyDescent="0.2">
      <c r="A12">
        <v>1300</v>
      </c>
      <c r="B12" t="s">
        <v>704</v>
      </c>
      <c r="C12" s="179">
        <f>ROUND('DOE25'!L199+'DOE25'!L217+'DOE25'!L235+'DOE25'!L278+'DOE25'!L297+'DOE25'!L316,0)</f>
        <v>48535</v>
      </c>
      <c r="D12" s="182">
        <f>ROUND((C12/$C$28)*100,1)</f>
        <v>0.2</v>
      </c>
    </row>
    <row r="13" spans="1:4" x14ac:dyDescent="0.2">
      <c r="A13">
        <v>1400</v>
      </c>
      <c r="B13" t="s">
        <v>705</v>
      </c>
      <c r="C13" s="179">
        <f>ROUND('DOE25'!L200+'DOE25'!L218+'DOE25'!L236+'DOE25'!L279+'DOE25'!L298+'DOE25'!L317,0)</f>
        <v>553240</v>
      </c>
      <c r="D13" s="182">
        <f>ROUND((C13/$C$28)*100,1)</f>
        <v>2.5</v>
      </c>
    </row>
    <row r="14" spans="1:4" x14ac:dyDescent="0.2">
      <c r="D14" s="182"/>
    </row>
    <row r="15" spans="1:4" x14ac:dyDescent="0.2">
      <c r="A15">
        <v>2100</v>
      </c>
      <c r="B15" t="s">
        <v>706</v>
      </c>
      <c r="C15" s="179">
        <f>ROUND('DOE25'!L202+'DOE25'!L220+'DOE25'!L238+'DOE25'!L281+'DOE25'!L300+'DOE25'!L319,0)</f>
        <v>1902025</v>
      </c>
      <c r="D15" s="182">
        <f t="shared" ref="D15:D27" si="0">ROUND((C15/$C$28)*100,1)</f>
        <v>8.6999999999999993</v>
      </c>
    </row>
    <row r="16" spans="1:4" x14ac:dyDescent="0.2">
      <c r="A16">
        <v>2200</v>
      </c>
      <c r="B16" t="s">
        <v>707</v>
      </c>
      <c r="C16" s="179">
        <f>ROUND('DOE25'!L203+'DOE25'!L221+'DOE25'!L239+'DOE25'!L282+'DOE25'!L301+'DOE25'!L320,0)</f>
        <v>769213</v>
      </c>
      <c r="D16" s="182">
        <f t="shared" si="0"/>
        <v>3.5</v>
      </c>
    </row>
    <row r="17" spans="1:4" x14ac:dyDescent="0.2">
      <c r="A17" s="183" t="s">
        <v>723</v>
      </c>
      <c r="B17" t="s">
        <v>738</v>
      </c>
      <c r="C17" s="179">
        <f>ROUND('DOE25'!L204+'DOE25'!L209+'DOE25'!L222+'DOE25'!L227+'DOE25'!L240+'DOE25'!L245+'DOE25'!L283+'DOE25'!L288+'DOE25'!L302+'DOE25'!L307+'DOE25'!L321+'DOE25'!L326,0)</f>
        <v>1518144</v>
      </c>
      <c r="D17" s="182">
        <f t="shared" si="0"/>
        <v>6.9</v>
      </c>
    </row>
    <row r="18" spans="1:4" x14ac:dyDescent="0.2">
      <c r="A18">
        <v>2400</v>
      </c>
      <c r="B18" t="s">
        <v>711</v>
      </c>
      <c r="C18" s="179">
        <f>ROUND('DOE25'!L205+'DOE25'!L223+'DOE25'!L241+'DOE25'!L284+'DOE25'!L303+'DOE25'!L322,0)</f>
        <v>1302585</v>
      </c>
      <c r="D18" s="182">
        <f t="shared" si="0"/>
        <v>5.9</v>
      </c>
    </row>
    <row r="19" spans="1:4" x14ac:dyDescent="0.2">
      <c r="A19">
        <v>2500</v>
      </c>
      <c r="B19" t="s">
        <v>708</v>
      </c>
      <c r="C19" s="179">
        <f>ROUND('DOE25'!L206+'DOE25'!L224+'DOE25'!L242+'DOE25'!L285+'DOE25'!L304+'DOE25'!L323,0)</f>
        <v>342541</v>
      </c>
      <c r="D19" s="182">
        <f t="shared" si="0"/>
        <v>1.6</v>
      </c>
    </row>
    <row r="20" spans="1:4" x14ac:dyDescent="0.2">
      <c r="A20">
        <v>2600</v>
      </c>
      <c r="B20" t="s">
        <v>709</v>
      </c>
      <c r="C20" s="179">
        <f>ROUND('DOE25'!L207+'DOE25'!L225+'DOE25'!L243+'DOE25'!L286+'DOE25'!L305+'DOE25'!L324,0)</f>
        <v>2094253</v>
      </c>
      <c r="D20" s="182">
        <f t="shared" si="0"/>
        <v>9.6</v>
      </c>
    </row>
    <row r="21" spans="1:4" x14ac:dyDescent="0.2">
      <c r="A21">
        <v>2700</v>
      </c>
      <c r="B21" t="s">
        <v>710</v>
      </c>
      <c r="C21" s="179">
        <f>ROUND('DOE25'!L208+'DOE25'!L226+'DOE25'!L244+'DOE25'!L287+'DOE25'!L306+'DOE25'!L325,0)</f>
        <v>1146126</v>
      </c>
      <c r="D21" s="182">
        <f t="shared" si="0"/>
        <v>5.2</v>
      </c>
    </row>
    <row r="22" spans="1:4" x14ac:dyDescent="0.2">
      <c r="A22">
        <v>2900</v>
      </c>
      <c r="B22" t="s">
        <v>712</v>
      </c>
      <c r="C22" s="179">
        <v>0</v>
      </c>
      <c r="D22" s="182">
        <f t="shared" si="0"/>
        <v>0</v>
      </c>
    </row>
    <row r="23" spans="1:4" x14ac:dyDescent="0.2">
      <c r="A23">
        <v>1500</v>
      </c>
      <c r="B23" t="s">
        <v>714</v>
      </c>
      <c r="C23" s="179">
        <f>ROUND('DOE25'!L250+'DOE25'!L332,0)</f>
        <v>6986</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174948.41999999998</v>
      </c>
      <c r="D27" s="182">
        <f t="shared" si="0"/>
        <v>0.8</v>
      </c>
    </row>
    <row r="28" spans="1:4" x14ac:dyDescent="0.2">
      <c r="B28" s="187" t="s">
        <v>719</v>
      </c>
      <c r="C28" s="180">
        <f>SUM(C10:C27)</f>
        <v>21912615.420000002</v>
      </c>
      <c r="D28" s="184">
        <f>ROUND(SUM(D10:D27),0)</f>
        <v>100</v>
      </c>
    </row>
    <row r="29" spans="1:4" x14ac:dyDescent="0.2">
      <c r="A29">
        <v>4000</v>
      </c>
      <c r="B29" t="s">
        <v>724</v>
      </c>
      <c r="C29" s="179">
        <f>ROUND('DOE25'!L255+'DOE25'!L336+'DOE25'!L374+'DOE25'!L375+'DOE25'!L376+'DOE25'!L377+'DOE25'!L378+'DOE25'!L379+'DOE25'!L380,0)</f>
        <v>500859</v>
      </c>
    </row>
    <row r="30" spans="1:4" x14ac:dyDescent="0.2">
      <c r="B30" s="187" t="s">
        <v>725</v>
      </c>
      <c r="C30" s="180">
        <f>SUM(C28:C29)</f>
        <v>22413474.420000002</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13687119</v>
      </c>
      <c r="D35" s="182">
        <f t="shared" ref="D35:D40" si="1">ROUND((C35/$C$41)*100,1)</f>
        <v>62.3</v>
      </c>
    </row>
    <row r="36" spans="1:4" x14ac:dyDescent="0.2">
      <c r="B36" s="185" t="s">
        <v>739</v>
      </c>
      <c r="C36" s="179">
        <f>SUM('DOE25'!F112:J112)-SUM('DOE25'!G97:G110)+('DOE25'!F174+'DOE25'!F175+'DOE25'!I174+'DOE25'!I175)-C35</f>
        <v>237822.58999999985</v>
      </c>
      <c r="D36" s="182">
        <f t="shared" si="1"/>
        <v>1.1000000000000001</v>
      </c>
    </row>
    <row r="37" spans="1:4" x14ac:dyDescent="0.2">
      <c r="A37" s="183" t="s">
        <v>835</v>
      </c>
      <c r="B37" s="185" t="s">
        <v>728</v>
      </c>
      <c r="C37" s="179">
        <f>ROUND('DOE25'!F117+'DOE25'!F118,0)</f>
        <v>7075598</v>
      </c>
      <c r="D37" s="182">
        <f t="shared" si="1"/>
        <v>32.200000000000003</v>
      </c>
    </row>
    <row r="38" spans="1:4" x14ac:dyDescent="0.2">
      <c r="A38" s="183" t="s">
        <v>734</v>
      </c>
      <c r="B38" s="185" t="s">
        <v>729</v>
      </c>
      <c r="C38" s="179">
        <f>ROUND(SUM('DOE25'!F140:J140)-SUM('DOE25'!F117:F119),0)</f>
        <v>266816</v>
      </c>
      <c r="D38" s="182">
        <f t="shared" si="1"/>
        <v>1.2</v>
      </c>
    </row>
    <row r="39" spans="1:4" x14ac:dyDescent="0.2">
      <c r="A39">
        <v>4000</v>
      </c>
      <c r="B39" s="185" t="s">
        <v>730</v>
      </c>
      <c r="C39" s="179">
        <f>ROUND('DOE25'!F169+'DOE25'!G169+'DOE25'!H169+'DOE25'!I169,0)</f>
        <v>719806</v>
      </c>
      <c r="D39" s="182">
        <f t="shared" si="1"/>
        <v>3.3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21987161.59</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SAU 27 - Litchfield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2019-11-18T13:31:28Z</cp:lastPrinted>
  <dcterms:created xsi:type="dcterms:W3CDTF">1997-12-04T19:04:30Z</dcterms:created>
  <dcterms:modified xsi:type="dcterms:W3CDTF">2019-11-22T15:58:38Z</dcterms:modified>
</cp:coreProperties>
</file>