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579" i="1" l="1"/>
  <c r="F582" i="1"/>
  <c r="H582" i="1"/>
  <c r="G582" i="1"/>
  <c r="G579" i="1"/>
  <c r="F579" i="1"/>
  <c r="F15" i="13" l="1"/>
  <c r="F48" i="1" l="1"/>
  <c r="C20" i="12" l="1"/>
  <c r="C21" i="12"/>
  <c r="B19" i="12"/>
  <c r="C19" i="12" s="1"/>
  <c r="C10" i="12"/>
  <c r="B10" i="12"/>
  <c r="D19" i="14"/>
  <c r="E40" i="14"/>
  <c r="D40" i="14"/>
  <c r="D30" i="14"/>
  <c r="D41" i="14"/>
  <c r="D28" i="14"/>
  <c r="D27" i="14"/>
  <c r="D26" i="14"/>
  <c r="D25" i="14"/>
  <c r="D39" i="14"/>
  <c r="D38" i="14"/>
  <c r="D37" i="14"/>
  <c r="D18" i="14"/>
  <c r="D17" i="14"/>
  <c r="D16" i="14"/>
  <c r="D15" i="14"/>
  <c r="D14" i="14"/>
  <c r="D13" i="14"/>
  <c r="D12" i="14"/>
  <c r="D11" i="14"/>
  <c r="D10" i="14"/>
  <c r="D9" i="14"/>
  <c r="D8" i="14"/>
  <c r="D7" i="14"/>
  <c r="D6" i="14"/>
  <c r="D5" i="14"/>
  <c r="E39" i="14" l="1"/>
  <c r="E38" i="14"/>
  <c r="E37" i="14"/>
  <c r="E28" i="14"/>
  <c r="E27" i="14"/>
  <c r="E26" i="14"/>
  <c r="E25" i="14"/>
  <c r="E18" i="14"/>
  <c r="E17" i="14"/>
  <c r="E16" i="14"/>
  <c r="E15" i="14"/>
  <c r="E14" i="14"/>
  <c r="E13" i="14"/>
  <c r="E12" i="14"/>
  <c r="E11" i="14"/>
  <c r="E10" i="14"/>
  <c r="E9" i="14"/>
  <c r="E8" i="14"/>
  <c r="E7" i="14"/>
  <c r="E6" i="14"/>
  <c r="E5" i="14"/>
  <c r="H604" i="1" l="1"/>
  <c r="J604" i="1"/>
  <c r="I604" i="1"/>
  <c r="H332" i="1"/>
  <c r="I333" i="1"/>
  <c r="H333" i="1"/>
  <c r="G333" i="1"/>
  <c r="F333" i="1"/>
  <c r="H102" i="1" l="1"/>
  <c r="I592" i="1"/>
  <c r="H591" i="1"/>
  <c r="J595" i="1"/>
  <c r="H595" i="1"/>
  <c r="J592" i="1"/>
  <c r="H592" i="1"/>
  <c r="J591" i="1"/>
  <c r="I591" i="1"/>
  <c r="H13" i="1" l="1"/>
  <c r="G197" i="1"/>
  <c r="F24" i="1" l="1"/>
  <c r="J239" i="1"/>
  <c r="H243" i="1" l="1"/>
  <c r="K241" i="1" l="1"/>
  <c r="F9" i="1"/>
  <c r="F197" i="1"/>
  <c r="H233" i="1"/>
  <c r="K236" i="1"/>
  <c r="I236" i="1"/>
  <c r="H236" i="1"/>
  <c r="G236" i="1"/>
  <c r="F236" i="1"/>
  <c r="I245" i="1"/>
  <c r="H245" i="1"/>
  <c r="I243" i="1"/>
  <c r="H241" i="1"/>
  <c r="H240" i="1"/>
  <c r="I239" i="1"/>
  <c r="G239" i="1"/>
  <c r="F239" i="1"/>
  <c r="H238" i="1"/>
  <c r="G238" i="1"/>
  <c r="F238" i="1"/>
  <c r="J234" i="1"/>
  <c r="I234" i="1"/>
  <c r="H234" i="1"/>
  <c r="G234" i="1"/>
  <c r="F234" i="1"/>
  <c r="I233" i="1"/>
  <c r="G233" i="1"/>
  <c r="F233" i="1"/>
  <c r="K218" i="1"/>
  <c r="I218" i="1"/>
  <c r="H218" i="1"/>
  <c r="G218" i="1"/>
  <c r="F218" i="1"/>
  <c r="I227" i="1"/>
  <c r="H227" i="1"/>
  <c r="I225" i="1"/>
  <c r="H225" i="1"/>
  <c r="H223" i="1"/>
  <c r="K222" i="1"/>
  <c r="I222" i="1"/>
  <c r="H222" i="1"/>
  <c r="G222" i="1"/>
  <c r="F222" i="1"/>
  <c r="I221" i="1"/>
  <c r="H221" i="1"/>
  <c r="G221" i="1"/>
  <c r="F221" i="1"/>
  <c r="H220" i="1"/>
  <c r="G220" i="1"/>
  <c r="F220" i="1"/>
  <c r="K216" i="1"/>
  <c r="J216" i="1"/>
  <c r="I216" i="1"/>
  <c r="H216" i="1"/>
  <c r="G216" i="1"/>
  <c r="F216" i="1"/>
  <c r="I215" i="1"/>
  <c r="H215" i="1"/>
  <c r="G215" i="1"/>
  <c r="F215" i="1"/>
  <c r="J209" i="1"/>
  <c r="I209" i="1"/>
  <c r="H209" i="1"/>
  <c r="G209" i="1"/>
  <c r="F209" i="1"/>
  <c r="I207" i="1"/>
  <c r="H207" i="1"/>
  <c r="I206" i="1"/>
  <c r="H206" i="1"/>
  <c r="G206" i="1"/>
  <c r="F206" i="1"/>
  <c r="H205" i="1"/>
  <c r="I204" i="1"/>
  <c r="H204" i="1"/>
  <c r="G204" i="1"/>
  <c r="F204" i="1"/>
  <c r="I203" i="1"/>
  <c r="H203" i="1"/>
  <c r="G203" i="1"/>
  <c r="F203" i="1"/>
  <c r="H202" i="1"/>
  <c r="G202" i="1"/>
  <c r="F202" i="1"/>
  <c r="K198" i="1"/>
  <c r="J198" i="1"/>
  <c r="I198" i="1"/>
  <c r="H198" i="1"/>
  <c r="G198" i="1"/>
  <c r="F198" i="1"/>
  <c r="I197" i="1"/>
  <c r="H197" i="1"/>
  <c r="H251" i="1"/>
  <c r="I241" i="1"/>
  <c r="G241" i="1"/>
  <c r="F241" i="1"/>
  <c r="G223" i="1"/>
  <c r="F223" i="1"/>
  <c r="I205" i="1"/>
  <c r="G205" i="1"/>
  <c r="F205" i="1"/>
  <c r="I202" i="1"/>
  <c r="I251" i="1"/>
  <c r="G251" i="1"/>
  <c r="F251" i="1"/>
  <c r="J236" i="1"/>
  <c r="J218" i="1"/>
  <c r="H200" i="1"/>
  <c r="G200" i="1"/>
  <c r="F200" i="1"/>
  <c r="H235" i="1"/>
  <c r="G235" i="1"/>
  <c r="F235" i="1"/>
  <c r="G217" i="1"/>
  <c r="F217" i="1"/>
  <c r="K233" i="1"/>
  <c r="J233" i="1"/>
  <c r="J215" i="1"/>
  <c r="J197" i="1"/>
  <c r="F110" i="1" l="1"/>
  <c r="F68" i="1"/>
  <c r="F63" i="1"/>
  <c r="F29" i="1" l="1"/>
  <c r="F14" i="1"/>
  <c r="F13" i="1"/>
  <c r="J564" i="1" l="1"/>
  <c r="I564" i="1"/>
  <c r="H564" i="1"/>
  <c r="G564" i="1"/>
  <c r="F564" i="1"/>
  <c r="J563" i="1"/>
  <c r="I563" i="1"/>
  <c r="H563" i="1"/>
  <c r="G563" i="1"/>
  <c r="F563" i="1"/>
  <c r="J562" i="1"/>
  <c r="I562" i="1"/>
  <c r="H562" i="1"/>
  <c r="G562" i="1"/>
  <c r="F562" i="1"/>
  <c r="F557" i="1"/>
  <c r="G559" i="1"/>
  <c r="F559" i="1"/>
  <c r="I558" i="1"/>
  <c r="G558" i="1"/>
  <c r="F558" i="1"/>
  <c r="J557" i="1"/>
  <c r="I557" i="1"/>
  <c r="H557" i="1"/>
  <c r="G557" i="1"/>
  <c r="J559" i="1"/>
  <c r="I559" i="1"/>
  <c r="H559" i="1"/>
  <c r="J558" i="1"/>
  <c r="H558" i="1"/>
  <c r="H358" i="1" l="1"/>
  <c r="F16" i="13" l="1"/>
  <c r="F14" i="13"/>
  <c r="F13" i="13"/>
  <c r="F8" i="13"/>
  <c r="F6" i="13"/>
  <c r="F5" i="13"/>
  <c r="I526" i="1" l="1"/>
  <c r="G523" i="1"/>
  <c r="F523" i="1"/>
  <c r="H523" i="1"/>
  <c r="I521" i="1"/>
  <c r="G528" i="1"/>
  <c r="H528" i="1"/>
  <c r="F528" i="1"/>
  <c r="J523" i="1"/>
  <c r="I523" i="1"/>
  <c r="H527" i="1"/>
  <c r="G527" i="1"/>
  <c r="F527" i="1"/>
  <c r="H522" i="1"/>
  <c r="G522" i="1"/>
  <c r="F522" i="1"/>
  <c r="I522" i="1"/>
  <c r="H526" i="1"/>
  <c r="G526" i="1"/>
  <c r="F526" i="1"/>
  <c r="G521" i="1"/>
  <c r="F521" i="1"/>
  <c r="H521" i="1"/>
  <c r="J521" i="1"/>
  <c r="K522" i="1" l="1"/>
  <c r="J522" i="1"/>
  <c r="K521" i="1"/>
  <c r="F367" i="1" l="1"/>
  <c r="I358" i="1"/>
  <c r="F358" i="1"/>
  <c r="J360" i="1"/>
  <c r="I360" i="1"/>
  <c r="H360" i="1"/>
  <c r="G360" i="1"/>
  <c r="F360" i="1"/>
  <c r="J359" i="1"/>
  <c r="I359" i="1"/>
  <c r="H359" i="1"/>
  <c r="G359" i="1"/>
  <c r="F359" i="1"/>
  <c r="J358" i="1"/>
  <c r="G358" i="1"/>
  <c r="G97" i="1"/>
  <c r="G158" i="1"/>
  <c r="G30" i="1"/>
  <c r="G14" i="1"/>
  <c r="G9" i="1" l="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J655" i="1" s="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D6" i="13" s="1"/>
  <c r="C6" i="13" s="1"/>
  <c r="L220" i="1"/>
  <c r="L238" i="1"/>
  <c r="G7" i="13"/>
  <c r="H7" i="13"/>
  <c r="L203" i="1"/>
  <c r="L221" i="1"/>
  <c r="L239" i="1"/>
  <c r="C119" i="2" s="1"/>
  <c r="G12" i="13"/>
  <c r="H12" i="13"/>
  <c r="L205" i="1"/>
  <c r="L223" i="1"/>
  <c r="L241" i="1"/>
  <c r="G14" i="13"/>
  <c r="H14" i="13"/>
  <c r="L207" i="1"/>
  <c r="L225" i="1"/>
  <c r="C20" i="10" s="1"/>
  <c r="L243" i="1"/>
  <c r="G15" i="13"/>
  <c r="H15" i="13"/>
  <c r="L208" i="1"/>
  <c r="L226" i="1"/>
  <c r="L244" i="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E119" i="2" s="1"/>
  <c r="L321" i="1"/>
  <c r="L322" i="1"/>
  <c r="L323" i="1"/>
  <c r="L324" i="1"/>
  <c r="L325" i="1"/>
  <c r="L326" i="1"/>
  <c r="L333" i="1"/>
  <c r="E114" i="2" s="1"/>
  <c r="L334" i="1"/>
  <c r="L335" i="1"/>
  <c r="L260" i="1"/>
  <c r="L261" i="1"/>
  <c r="C132" i="2" s="1"/>
  <c r="L341" i="1"/>
  <c r="L342" i="1"/>
  <c r="L255" i="1"/>
  <c r="C130" i="2" s="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93" i="1" s="1"/>
  <c r="C138" i="2" s="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H94" i="1"/>
  <c r="H111" i="1"/>
  <c r="I111" i="1"/>
  <c r="I112" i="1" s="1"/>
  <c r="J111" i="1"/>
  <c r="J112" i="1" s="1"/>
  <c r="F121" i="1"/>
  <c r="F136" i="1"/>
  <c r="G121" i="1"/>
  <c r="G136" i="1"/>
  <c r="H121" i="1"/>
  <c r="H136" i="1"/>
  <c r="I121" i="1"/>
  <c r="I136" i="1"/>
  <c r="J121" i="1"/>
  <c r="J136" i="1"/>
  <c r="F147" i="1"/>
  <c r="C85" i="2" s="1"/>
  <c r="C91" i="2" s="1"/>
  <c r="F162" i="1"/>
  <c r="F169" i="1" s="1"/>
  <c r="G147" i="1"/>
  <c r="G162" i="1"/>
  <c r="H147" i="1"/>
  <c r="H162" i="1"/>
  <c r="H169" i="1" s="1"/>
  <c r="I147" i="1"/>
  <c r="I162" i="1"/>
  <c r="L250" i="1"/>
  <c r="C113" i="2" s="1"/>
  <c r="L332" i="1"/>
  <c r="E113" i="2" s="1"/>
  <c r="L254" i="1"/>
  <c r="L268" i="1"/>
  <c r="L269" i="1"/>
  <c r="L349" i="1"/>
  <c r="E142" i="2" s="1"/>
  <c r="L350" i="1"/>
  <c r="I665" i="1"/>
  <c r="I670" i="1"/>
  <c r="H662" i="1"/>
  <c r="I669" i="1"/>
  <c r="C42" i="10"/>
  <c r="C32" i="10"/>
  <c r="L374" i="1"/>
  <c r="L375" i="1"/>
  <c r="L376" i="1"/>
  <c r="L377" i="1"/>
  <c r="L378" i="1"/>
  <c r="L379" i="1"/>
  <c r="L380" i="1"/>
  <c r="B2" i="10"/>
  <c r="L344" i="1"/>
  <c r="E134" i="2" s="1"/>
  <c r="L345" i="1"/>
  <c r="L346" i="1"/>
  <c r="L347" i="1"/>
  <c r="K351" i="1"/>
  <c r="L521" i="1"/>
  <c r="F549" i="1" s="1"/>
  <c r="L522" i="1"/>
  <c r="F550" i="1" s="1"/>
  <c r="L523" i="1"/>
  <c r="F551" i="1" s="1"/>
  <c r="L526" i="1"/>
  <c r="G549" i="1" s="1"/>
  <c r="L527" i="1"/>
  <c r="G550" i="1" s="1"/>
  <c r="L528" i="1"/>
  <c r="G551" i="1" s="1"/>
  <c r="L531" i="1"/>
  <c r="H549" i="1" s="1"/>
  <c r="H552" i="1" s="1"/>
  <c r="L532" i="1"/>
  <c r="H550" i="1" s="1"/>
  <c r="L533" i="1"/>
  <c r="H551" i="1" s="1"/>
  <c r="L536" i="1"/>
  <c r="I549" i="1" s="1"/>
  <c r="L537" i="1"/>
  <c r="I550" i="1" s="1"/>
  <c r="L538" i="1"/>
  <c r="I551" i="1" s="1"/>
  <c r="L541" i="1"/>
  <c r="J549" i="1" s="1"/>
  <c r="L542" i="1"/>
  <c r="J550" i="1" s="1"/>
  <c r="L543" i="1"/>
  <c r="J551" i="1" s="1"/>
  <c r="J552" i="1" s="1"/>
  <c r="E132" i="2"/>
  <c r="E131" i="2"/>
  <c r="K270" i="1"/>
  <c r="J270" i="1"/>
  <c r="I270" i="1"/>
  <c r="H270" i="1"/>
  <c r="G270" i="1"/>
  <c r="F270" i="1"/>
  <c r="L270" i="1" s="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D31" i="2" s="1"/>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E62" i="2" s="1"/>
  <c r="C58" i="2"/>
  <c r="E58" i="2"/>
  <c r="C59" i="2"/>
  <c r="D59" i="2"/>
  <c r="E59" i="2"/>
  <c r="F59" i="2"/>
  <c r="D60" i="2"/>
  <c r="C61" i="2"/>
  <c r="D61" i="2"/>
  <c r="E61" i="2"/>
  <c r="F61" i="2"/>
  <c r="C66" i="2"/>
  <c r="C70" i="2" s="1"/>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G81" i="2" s="1"/>
  <c r="C79" i="2"/>
  <c r="D79" i="2"/>
  <c r="E79" i="2"/>
  <c r="C80" i="2"/>
  <c r="E80" i="2"/>
  <c r="D85" i="2"/>
  <c r="E85" i="2"/>
  <c r="F85"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1" i="2"/>
  <c r="E123" i="2"/>
  <c r="E124" i="2"/>
  <c r="F128" i="2"/>
  <c r="G128" i="2"/>
  <c r="D134" i="2"/>
  <c r="D144" i="2" s="1"/>
  <c r="F134" i="2"/>
  <c r="K419" i="1"/>
  <c r="K427" i="1"/>
  <c r="K433" i="1"/>
  <c r="L263" i="1"/>
  <c r="C135" i="2" s="1"/>
  <c r="E135" i="2"/>
  <c r="L264" i="1"/>
  <c r="C136" i="2" s="1"/>
  <c r="L265" i="1"/>
  <c r="C137" i="2" s="1"/>
  <c r="E137"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G624" i="1" s="1"/>
  <c r="I51" i="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I369" i="1" s="1"/>
  <c r="H634" i="1" s="1"/>
  <c r="F369" i="1"/>
  <c r="G369" i="1"/>
  <c r="H369" i="1"/>
  <c r="L381" i="1"/>
  <c r="F382" i="1"/>
  <c r="G382" i="1"/>
  <c r="H382" i="1"/>
  <c r="I382" i="1"/>
  <c r="J382" i="1"/>
  <c r="K382" i="1"/>
  <c r="F393" i="1"/>
  <c r="G393" i="1"/>
  <c r="H393" i="1"/>
  <c r="I393" i="1"/>
  <c r="I408" i="1" s="1"/>
  <c r="F401" i="1"/>
  <c r="G401" i="1"/>
  <c r="H401" i="1"/>
  <c r="H408" i="1" s="1"/>
  <c r="H644" i="1" s="1"/>
  <c r="I401" i="1"/>
  <c r="F407" i="1"/>
  <c r="G407" i="1"/>
  <c r="H407" i="1"/>
  <c r="I407" i="1"/>
  <c r="F408" i="1"/>
  <c r="G408" i="1"/>
  <c r="L413" i="1"/>
  <c r="L419" i="1" s="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H461" i="1" s="1"/>
  <c r="H641" i="1" s="1"/>
  <c r="F460" i="1"/>
  <c r="G460" i="1"/>
  <c r="H460" i="1"/>
  <c r="F461" i="1"/>
  <c r="H639" i="1" s="1"/>
  <c r="F470" i="1"/>
  <c r="G470" i="1"/>
  <c r="G476" i="1" s="1"/>
  <c r="H623" i="1" s="1"/>
  <c r="J623" i="1" s="1"/>
  <c r="H470" i="1"/>
  <c r="H476" i="1" s="1"/>
  <c r="H624" i="1" s="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J651" i="1" s="1"/>
  <c r="K602" i="1"/>
  <c r="K605" i="1" s="1"/>
  <c r="G648" i="1" s="1"/>
  <c r="K603" i="1"/>
  <c r="K604" i="1"/>
  <c r="H605" i="1"/>
  <c r="I605" i="1"/>
  <c r="J605" i="1"/>
  <c r="F614" i="1"/>
  <c r="G614" i="1"/>
  <c r="H614" i="1"/>
  <c r="I614" i="1"/>
  <c r="J614" i="1"/>
  <c r="K614" i="1"/>
  <c r="G622" i="1"/>
  <c r="G623" i="1"/>
  <c r="G625" i="1"/>
  <c r="H627" i="1"/>
  <c r="H628" i="1"/>
  <c r="H629" i="1"/>
  <c r="H630" i="1"/>
  <c r="H631" i="1"/>
  <c r="H632" i="1"/>
  <c r="H633" i="1"/>
  <c r="H635" i="1"/>
  <c r="H636" i="1"/>
  <c r="H637" i="1"/>
  <c r="H638" i="1"/>
  <c r="G641" i="1"/>
  <c r="J641" i="1" s="1"/>
  <c r="G643" i="1"/>
  <c r="H643" i="1"/>
  <c r="J643" i="1" s="1"/>
  <c r="G644" i="1"/>
  <c r="H645" i="1"/>
  <c r="G651" i="1"/>
  <c r="G652" i="1"/>
  <c r="H652" i="1"/>
  <c r="G653" i="1"/>
  <c r="H653" i="1"/>
  <c r="G654" i="1"/>
  <c r="H654" i="1"/>
  <c r="H655" i="1"/>
  <c r="D50" i="2"/>
  <c r="F18" i="2"/>
  <c r="G62" i="2"/>
  <c r="E78" i="2"/>
  <c r="H112" i="1"/>
  <c r="I169" i="1"/>
  <c r="J140" i="1"/>
  <c r="G22" i="2"/>
  <c r="H140" i="1"/>
  <c r="H192" i="1"/>
  <c r="K545" i="1" l="1"/>
  <c r="L433" i="1"/>
  <c r="L427" i="1"/>
  <c r="I476" i="1"/>
  <c r="H625" i="1" s="1"/>
  <c r="J625" i="1" s="1"/>
  <c r="J476" i="1"/>
  <c r="H626" i="1" s="1"/>
  <c r="G461" i="1"/>
  <c r="H640" i="1" s="1"/>
  <c r="G192" i="1"/>
  <c r="F192" i="1"/>
  <c r="C26" i="10"/>
  <c r="C78" i="2"/>
  <c r="C81" i="2" s="1"/>
  <c r="E122" i="2"/>
  <c r="L570" i="1"/>
  <c r="F130" i="2"/>
  <c r="F144" i="2" s="1"/>
  <c r="F145" i="2" s="1"/>
  <c r="E125" i="2"/>
  <c r="I545" i="1"/>
  <c r="J571" i="1"/>
  <c r="F571" i="1"/>
  <c r="I52" i="1"/>
  <c r="H620" i="1" s="1"/>
  <c r="D81" i="2"/>
  <c r="C114" i="2"/>
  <c r="G662" i="1"/>
  <c r="J644" i="1"/>
  <c r="G645" i="1"/>
  <c r="J645" i="1" s="1"/>
  <c r="A40" i="12"/>
  <c r="J640" i="1"/>
  <c r="L351" i="1"/>
  <c r="L328" i="1"/>
  <c r="K338" i="1"/>
  <c r="K352" i="1" s="1"/>
  <c r="E110" i="2"/>
  <c r="E118" i="2"/>
  <c r="E112" i="2"/>
  <c r="L309" i="1"/>
  <c r="G338" i="1"/>
  <c r="G352" i="1" s="1"/>
  <c r="F338" i="1"/>
  <c r="F352" i="1" s="1"/>
  <c r="L290" i="1"/>
  <c r="C13" i="10"/>
  <c r="E63" i="2"/>
  <c r="J624" i="1"/>
  <c r="E31" i="2"/>
  <c r="H52" i="1"/>
  <c r="H619" i="1" s="1"/>
  <c r="J619" i="1" s="1"/>
  <c r="F476" i="1"/>
  <c r="H622" i="1" s="1"/>
  <c r="J622" i="1" s="1"/>
  <c r="E13" i="13"/>
  <c r="C13" i="13" s="1"/>
  <c r="C125" i="2"/>
  <c r="L256" i="1"/>
  <c r="C18" i="10"/>
  <c r="C121" i="2"/>
  <c r="C112" i="2"/>
  <c r="A31" i="12"/>
  <c r="C12" i="10"/>
  <c r="J257" i="1"/>
  <c r="C11" i="10"/>
  <c r="C110" i="2"/>
  <c r="L247" i="1"/>
  <c r="K257" i="1"/>
  <c r="K271" i="1" s="1"/>
  <c r="F257" i="1"/>
  <c r="F271" i="1" s="1"/>
  <c r="F112" i="1"/>
  <c r="C18" i="2"/>
  <c r="I571" i="1"/>
  <c r="L565" i="1"/>
  <c r="L560" i="1"/>
  <c r="H571" i="1"/>
  <c r="L614" i="1"/>
  <c r="G552" i="1"/>
  <c r="L529" i="1"/>
  <c r="K549" i="1"/>
  <c r="F552" i="1"/>
  <c r="G545" i="1"/>
  <c r="I552" i="1"/>
  <c r="K598" i="1"/>
  <c r="G647" i="1" s="1"/>
  <c r="H257" i="1"/>
  <c r="H271" i="1" s="1"/>
  <c r="G650" i="1"/>
  <c r="J650" i="1" s="1"/>
  <c r="D15" i="13"/>
  <c r="C15" i="13" s="1"/>
  <c r="I257" i="1"/>
  <c r="I271" i="1" s="1"/>
  <c r="L211" i="1"/>
  <c r="H647" i="1"/>
  <c r="H545" i="1"/>
  <c r="J545" i="1"/>
  <c r="J634" i="1"/>
  <c r="F661" i="1"/>
  <c r="L362" i="1"/>
  <c r="G635" i="1" s="1"/>
  <c r="J635" i="1" s="1"/>
  <c r="G661" i="1"/>
  <c r="D91" i="2"/>
  <c r="D62" i="2"/>
  <c r="D63" i="2" s="1"/>
  <c r="D18" i="2"/>
  <c r="J617" i="1"/>
  <c r="J639" i="1"/>
  <c r="K551" i="1"/>
  <c r="I25" i="13"/>
  <c r="K550" i="1"/>
  <c r="L534" i="1"/>
  <c r="K500" i="1"/>
  <c r="I460" i="1"/>
  <c r="I452" i="1"/>
  <c r="I446" i="1"/>
  <c r="G642" i="1" s="1"/>
  <c r="H338" i="1"/>
  <c r="H352" i="1" s="1"/>
  <c r="C123" i="2"/>
  <c r="E109" i="2"/>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C35" i="10"/>
  <c r="C36" i="10" s="1"/>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L337" i="1"/>
  <c r="F62" i="2"/>
  <c r="F63" i="2" s="1"/>
  <c r="F104" i="2" s="1"/>
  <c r="C23" i="10"/>
  <c r="G163" i="2"/>
  <c r="G162" i="2"/>
  <c r="G160" i="2"/>
  <c r="G159" i="2"/>
  <c r="G158" i="2"/>
  <c r="G103" i="2"/>
  <c r="F103" i="2"/>
  <c r="C103" i="2"/>
  <c r="F91" i="2"/>
  <c r="E50" i="2"/>
  <c r="E51" i="2" s="1"/>
  <c r="C50" i="2"/>
  <c r="F31" i="2"/>
  <c r="C31" i="2"/>
  <c r="E18" i="2"/>
  <c r="E144" i="2"/>
  <c r="F50" i="2"/>
  <c r="F51" i="2" s="1"/>
  <c r="C24" i="10"/>
  <c r="H31" i="13"/>
  <c r="H33" i="13" s="1"/>
  <c r="I338" i="1"/>
  <c r="I352" i="1" s="1"/>
  <c r="L407" i="1"/>
  <c r="C140" i="2" s="1"/>
  <c r="C141" i="2" s="1"/>
  <c r="I192" i="1"/>
  <c r="E91" i="2"/>
  <c r="E104" i="2" s="1"/>
  <c r="L408" i="1"/>
  <c r="G637" i="1" s="1"/>
  <c r="J637" i="1" s="1"/>
  <c r="D51" i="2"/>
  <c r="J654" i="1"/>
  <c r="J653" i="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G63" i="2"/>
  <c r="G104" i="2" s="1"/>
  <c r="J618" i="1"/>
  <c r="G42" i="2"/>
  <c r="J51" i="1"/>
  <c r="G16" i="2"/>
  <c r="G18" i="2" s="1"/>
  <c r="J19" i="1"/>
  <c r="G621" i="1" s="1"/>
  <c r="F545" i="1"/>
  <c r="H434" i="1"/>
  <c r="J620" i="1"/>
  <c r="D103" i="2"/>
  <c r="D104" i="2" s="1"/>
  <c r="I140" i="1"/>
  <c r="A22" i="12"/>
  <c r="G50" i="2"/>
  <c r="G51" i="2" s="1"/>
  <c r="J652" i="1"/>
  <c r="G571" i="1"/>
  <c r="I434" i="1"/>
  <c r="G434" i="1"/>
  <c r="I663" i="1"/>
  <c r="F193" i="1" l="1"/>
  <c r="G627" i="1" s="1"/>
  <c r="J627" i="1" s="1"/>
  <c r="E128" i="2"/>
  <c r="C27" i="10"/>
  <c r="I193" i="1"/>
  <c r="G630" i="1" s="1"/>
  <c r="J630" i="1" s="1"/>
  <c r="H646" i="1"/>
  <c r="L338" i="1"/>
  <c r="L352" i="1" s="1"/>
  <c r="G633" i="1" s="1"/>
  <c r="J633" i="1" s="1"/>
  <c r="G36" i="14"/>
  <c r="H36" i="14" s="1"/>
  <c r="I36" i="14" s="1"/>
  <c r="E115" i="2"/>
  <c r="E145" i="2" s="1"/>
  <c r="G24" i="14"/>
  <c r="G4" i="14"/>
  <c r="H4" i="14" s="1"/>
  <c r="I4" i="14" s="1"/>
  <c r="H648" i="1"/>
  <c r="J648" i="1" s="1"/>
  <c r="J647" i="1"/>
  <c r="J271" i="1"/>
  <c r="C115" i="2"/>
  <c r="H660" i="1"/>
  <c r="H664" i="1" s="1"/>
  <c r="F660" i="1"/>
  <c r="F664" i="1" s="1"/>
  <c r="F667" i="1" s="1"/>
  <c r="C63" i="2"/>
  <c r="C104" i="2" s="1"/>
  <c r="L571" i="1"/>
  <c r="C144" i="2"/>
  <c r="E33" i="13"/>
  <c r="D35" i="13" s="1"/>
  <c r="L257" i="1"/>
  <c r="L271" i="1" s="1"/>
  <c r="G632" i="1" s="1"/>
  <c r="J632" i="1" s="1"/>
  <c r="C128" i="2"/>
  <c r="L545" i="1"/>
  <c r="I661" i="1"/>
  <c r="D31" i="13"/>
  <c r="C31" i="13" s="1"/>
  <c r="I461" i="1"/>
  <c r="H642" i="1" s="1"/>
  <c r="J642" i="1" s="1"/>
  <c r="G660" i="1"/>
  <c r="G664" i="1" s="1"/>
  <c r="G667" i="1" s="1"/>
  <c r="C25" i="13"/>
  <c r="I33" i="13"/>
  <c r="K552" i="1"/>
  <c r="C28" i="10"/>
  <c r="D23" i="10" s="1"/>
  <c r="H24" i="14"/>
  <c r="I24" i="14" s="1"/>
  <c r="C51" i="2"/>
  <c r="G631" i="1"/>
  <c r="J631" i="1" s="1"/>
  <c r="J646" i="1"/>
  <c r="G193" i="1"/>
  <c r="G628" i="1" s="1"/>
  <c r="J628" i="1" s="1"/>
  <c r="G626" i="1"/>
  <c r="J626" i="1" s="1"/>
  <c r="J52" i="1"/>
  <c r="H621" i="1" s="1"/>
  <c r="J621" i="1" s="1"/>
  <c r="C38" i="10"/>
  <c r="C145" i="2" l="1"/>
  <c r="F672" i="1"/>
  <c r="C4" i="10" s="1"/>
  <c r="I660" i="1"/>
  <c r="I664" i="1" s="1"/>
  <c r="I672" i="1" s="1"/>
  <c r="C7" i="10" s="1"/>
  <c r="H667" i="1"/>
  <c r="H672" i="1"/>
  <c r="C6" i="10" s="1"/>
  <c r="D25" i="10"/>
  <c r="G672" i="1"/>
  <c r="C5"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<sst xmlns="http://schemas.openxmlformats.org/spreadsheetml/2006/main" count="5530" uniqueCount="1611">
  <si>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</si>
  <si>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</si>
  <si>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</si>
  <si>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</si>
  <si>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</si>
  <si>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</si>
  <si>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</si>
  <si>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</si>
  <si>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</si>
  <si>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</si>
  <si>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</si>
  <si>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</si>
  <si>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</si>
  <si>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</si>
  <si>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</si>
  <si>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</si>
  <si>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</si>
  <si>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</si>
  <si>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</si>
  <si>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</si>
  <si>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</si>
  <si>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</si>
  <si>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</si>
  <si>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</si>
  <si>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</si>
  <si>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</si>
  <si>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</si>
  <si>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</si>
  <si>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</si>
  <si>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</si>
  <si>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</si>
  <si>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</si>
  <si>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</si>
  <si>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</si>
  <si>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</si>
  <si>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</si>
  <si>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</si>
  <si>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</si>
  <si>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</si>
  <si>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</si>
  <si>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</si>
  <si>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</si>
  <si>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</si>
  <si>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</si>
  <si>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</si>
  <si>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</si>
  <si>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</si>
  <si>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</si>
  <si>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</si>
  <si>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</si>
  <si>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</si>
  <si>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</si>
  <si>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</si>
  <si>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</si>
  <si>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</si>
  <si>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</si>
  <si>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</si>
  <si>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</si>
  <si>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</si>
  <si>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</si>
  <si>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</si>
  <si>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</si>
  <si>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</si>
  <si>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</si>
  <si>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</si>
  <si>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</si>
  <si>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</si>
  <si>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</si>
  <si>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</si>
  <si>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</si>
  <si>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</si>
  <si>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</si>
  <si>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</si>
  <si>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</si>
  <si>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</si>
  <si>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</si>
  <si>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</si>
  <si>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</si>
  <si>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</si>
  <si>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</si>
  <si>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</si>
  <si>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</si>
  <si>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</si>
  <si>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</si>
  <si>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</si>
  <si>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</si>
  <si>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</si>
  <si>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</si>
  <si>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</si>
  <si>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</si>
  <si>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</si>
  <si>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</si>
  <si>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</si>
  <si>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</si>
  <si>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</si>
  <si>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</si>
  <si>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</si>
  <si>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</si>
  <si>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</si>
  <si>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</si>
  <si>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</si>
  <si>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</si>
  <si>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</si>
  <si>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</si>
  <si>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</si>
  <si>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</si>
  <si>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</si>
  <si>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</si>
  <si>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</si>
  <si>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</si>
  <si>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</si>
  <si>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</si>
  <si>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</si>
  <si>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</si>
  <si>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</si>
  <si>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</si>
  <si>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</si>
  <si>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</si>
  <si>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</si>
  <si>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</si>
  <si>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</si>
  <si>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</si>
  <si>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</si>
  <si>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</si>
  <si>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</si>
  <si>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</si>
  <si>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</si>
  <si>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</si>
  <si>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</si>
  <si>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</si>
  <si>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</si>
  <si>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</si>
  <si>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</si>
  <si>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</si>
  <si>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</si>
  <si>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</si>
  <si>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</si>
  <si>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</si>
  <si>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</si>
  <si>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</si>
  <si>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</si>
  <si>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</si>
  <si>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</si>
  <si>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</si>
  <si>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</si>
  <si>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</si>
  <si>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</si>
  <si>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</si>
  <si>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</si>
  <si>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</si>
  <si>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</si>
  <si>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</si>
  <si>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</si>
  <si>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</si>
  <si>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</si>
  <si>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</si>
  <si>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</si>
  <si>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</si>
  <si>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</si>
  <si>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</si>
  <si>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</si>
  <si>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</si>
  <si>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</si>
  <si>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</si>
  <si>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</si>
  <si>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</si>
  <si>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</si>
  <si>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</si>
  <si>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</si>
  <si>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</si>
  <si>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</si>
  <si>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</si>
  <si>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</si>
  <si>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</si>
  <si>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</si>
  <si>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</si>
  <si>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</si>
  <si>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</si>
  <si>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</si>
  <si>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</si>
  <si>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</si>
  <si>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</si>
  <si>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</si>
  <si>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</si>
  <si>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</si>
  <si>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</si>
  <si>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</si>
  <si>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</si>
  <si>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</si>
  <si>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</si>
  <si>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</si>
  <si>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</si>
  <si>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</si>
  <si>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</si>
  <si>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</si>
  <si>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</si>
  <si>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</si>
  <si>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</si>
  <si>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</si>
  <si>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</si>
  <si>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</si>
  <si>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</si>
  <si>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</si>
  <si>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</si>
  <si>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</si>
  <si>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</si>
  <si>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</si>
  <si>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</si>
  <si>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</si>
  <si>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</si>
  <si>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</si>
  <si>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</si>
  <si>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</si>
  <si>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</si>
  <si>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</si>
  <si>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</si>
  <si>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</si>
  <si>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</si>
  <si>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</si>
  <si>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</si>
  <si>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</si>
  <si>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</si>
  <si>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</si>
  <si>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</si>
  <si>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</si>
  <si>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</si>
  <si>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</si>
  <si>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</si>
  <si>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</si>
  <si>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</si>
  <si>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</si>
  <si>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</si>
  <si>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</si>
  <si>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</si>
  <si>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</si>
  <si>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</si>
  <si>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</si>
  <si>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</si>
  <si>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</si>
  <si>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</si>
  <si>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</si>
  <si>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</si>
  <si>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</si>
  <si>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</si>
  <si>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</si>
  <si>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</si>
  <si>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</si>
  <si>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</si>
  <si>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</si>
  <si>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</si>
  <si>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</si>
  <si>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</si>
  <si>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</si>
  <si>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</si>
  <si>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</si>
  <si>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</si>
  <si>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</si>
  <si>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</si>
  <si>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</si>
  <si>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</si>
  <si>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</si>
  <si>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</si>
  <si>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</si>
  <si>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</si>
  <si>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</si>
  <si>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</si>
  <si>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</si>
  <si>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</si>
  <si>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</si>
  <si>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</si>
  <si>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</si>
  <si>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</si>
  <si>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</si>
  <si>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</si>
  <si>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</si>
  <si>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</si>
  <si>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</si>
  <si>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</si>
  <si>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</si>
  <si>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</si>
  <si>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</si>
  <si>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</si>
  <si>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</si>
  <si>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</si>
  <si>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</si>
  <si>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</si>
  <si>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</si>
  <si>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</si>
  <si>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</si>
  <si>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</si>
  <si>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</si>
  <si>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</si>
  <si>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</si>
  <si>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</si>
  <si>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</si>
  <si>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</si>
  <si>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</si>
  <si>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</si>
  <si>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</si>
  <si>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</si>
  <si>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</si>
  <si>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</si>
  <si>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</si>
  <si>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</si>
  <si>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</si>
  <si>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</si>
  <si>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</si>
  <si>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</si>
  <si>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</si>
  <si>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</si>
  <si>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</si>
  <si>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</si>
  <si>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</si>
  <si>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</si>
  <si>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</si>
  <si>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</si>
  <si>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</si>
  <si>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</si>
  <si>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</si>
  <si>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</si>
  <si>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</si>
  <si>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</si>
  <si>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</si>
  <si>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</si>
  <si>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</si>
  <si>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</si>
  <si>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</si>
  <si>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</si>
  <si>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</si>
  <si>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</si>
  <si>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</si>
  <si>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</si>
  <si>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</si>
  <si>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</si>
  <si>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</si>
  <si>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</si>
  <si>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</si>
  <si>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</si>
  <si>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</si>
  <si>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</si>
  <si>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</si>
  <si>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</si>
  <si>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</si>
  <si>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</si>
  <si>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</si>
  <si>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</si>
  <si>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</si>
  <si>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</si>
  <si>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</si>
  <si>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</si>
  <si>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</si>
  <si>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</si>
  <si>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</si>
  <si>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</si>
  <si>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</si>
  <si>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</si>
  <si>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</si>
  <si>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</si>
  <si>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</si>
  <si>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</si>
  <si>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</si>
  <si>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</si>
  <si>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</si>
  <si>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</si>
  <si>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</si>
  <si>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</si>
  <si>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</si>
  <si>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</si>
  <si>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</si>
  <si>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</si>
  <si>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</si>
  <si>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</si>
  <si>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</si>
  <si>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</si>
  <si>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</si>
  <si>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</si>
  <si>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</si>
  <si>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</si>
  <si>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</si>
  <si>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</si>
  <si>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</si>
  <si>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</si>
  <si>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</si>
  <si>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</si>
  <si>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</si>
  <si>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</si>
  <si>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</si>
  <si>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</si>
  <si>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</si>
  <si>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</si>
  <si>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</si>
  <si>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</si>
  <si>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</si>
  <si>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</si>
  <si>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</si>
  <si>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</si>
  <si>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</si>
  <si>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</si>
  <si>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</si>
  <si>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</si>
  <si>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</si>
  <si>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</si>
  <si>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</si>
  <si>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</si>
  <si>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</si>
  <si>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</si>
  <si>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</si>
  <si>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</si>
  <si>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</si>
  <si>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</si>
  <si>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</si>
  <si>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</si>
  <si>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</si>
  <si>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</si>
  <si>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</si>
  <si>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</si>
  <si>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</si>
  <si>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</si>
  <si>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</si>
  <si>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</si>
  <si>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</si>
  <si>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</si>
  <si>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</si>
  <si>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</si>
  <si>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</si>
  <si>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</si>
  <si>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</si>
  <si>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</si>
  <si>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</si>
  <si>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</si>
  <si>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</si>
  <si>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</si>
  <si>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</si>
  <si>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</si>
  <si>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</si>
  <si>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</si>
  <si>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</si>
  <si>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</si>
  <si>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</si>
  <si>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</si>
  <si>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</si>
  <si>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</si>
  <si>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</si>
  <si>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</si>
  <si>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</si>
  <si>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</si>
  <si>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</si>
  <si>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</si>
  <si>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</si>
  <si>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</si>
  <si>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</si>
  <si>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</si>
  <si>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</si>
  <si>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</si>
  <si>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</si>
  <si>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</si>
  <si>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</si>
  <si>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</si>
  <si>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</si>
  <si>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</si>
  <si>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</si>
  <si>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</si>
  <si>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</si>
  <si>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</si>
  <si>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</si>
  <si>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</si>
  <si>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</si>
  <si>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</si>
  <si>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</si>
  <si>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</si>
  <si>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</si>
  <si>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</si>
  <si>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</si>
  <si>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</si>
  <si>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</si>
  <si>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</si>
  <si>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</si>
  <si>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</si>
  <si>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</si>
  <si>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</si>
  <si>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</si>
  <si>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</si>
  <si>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</si>
  <si>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</si>
  <si>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</si>
  <si>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</si>
  <si>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</si>
  <si>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</si>
  <si>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</si>
  <si>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</si>
  <si>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</si>
  <si>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</si>
  <si>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</si>
  <si>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</si>
  <si>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</si>
  <si>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</si>
  <si>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</si>
  <si>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</si>
  <si>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</si>
  <si>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</si>
  <si>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</si>
  <si>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</si>
  <si>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</si>
  <si>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</si>
  <si>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</si>
  <si>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</si>
  <si>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</si>
  <si>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</si>
  <si>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</si>
  <si>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</si>
  <si>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</si>
  <si>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</si>
  <si>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</si>
  <si>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</si>
  <si>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</si>
  <si>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</si>
  <si>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</si>
  <si>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</si>
  <si>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</si>
  <si>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</si>
  <si>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</si>
  <si>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</si>
  <si>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</si>
  <si>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</si>
  <si>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</si>
  <si>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</si>
  <si>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</si>
  <si>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</si>
  <si>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</si>
  <si>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</si>
  <si>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</si>
  <si>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</si>
  <si>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</si>
  <si>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</si>
  <si>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</si>
  <si>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</si>
  <si>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</si>
  <si>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</si>
  <si>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</si>
  <si>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</si>
  <si>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</si>
  <si>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</si>
  <si>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</si>
  <si>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</si>
  <si>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</si>
  <si>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</si>
  <si>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</si>
  <si>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</si>
  <si>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</si>
  <si>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</si>
  <si>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</si>
  <si>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</si>
  <si>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</si>
  <si>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</si>
  <si>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</si>
  <si>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</si>
  <si>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</si>
  <si>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</si>
  <si>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</si>
  <si>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</si>
  <si>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</si>
  <si>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</si>
  <si>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</si>
  <si>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</si>
  <si>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</si>
  <si>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</si>
  <si>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</si>
  <si>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</si>
  <si>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</si>
  <si>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</si>
  <si>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</si>
  <si>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</si>
  <si>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</si>
  <si>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</si>
  <si>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</si>
  <si>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</si>
  <si>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</si>
  <si>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</si>
  <si>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</si>
  <si>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</si>
  <si>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</si>
  <si>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</si>
  <si>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</si>
  <si>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</si>
  <si>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</si>
  <si>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</si>
  <si>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</si>
  <si>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</si>
  <si>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</si>
  <si>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</si>
  <si>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</si>
  <si>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</si>
  <si>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</si>
  <si>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</si>
  <si>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</si>
  <si>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</si>
  <si>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</si>
  <si>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</si>
  <si>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</si>
  <si>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</si>
  <si>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</si>
  <si>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</si>
  <si>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</si>
  <si>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</si>
  <si>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</si>
  <si>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</si>
  <si>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</si>
  <si>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</si>
  <si>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</si>
  <si>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</si>
  <si>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</si>
  <si>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</si>
  <si>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</si>
  <si>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</si>
  <si>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</si>
  <si>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</si>
  <si>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</si>
  <si>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</si>
  <si>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</si>
  <si>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</si>
  <si>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</si>
  <si>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</si>
  <si>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</si>
  <si>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</si>
  <si>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</si>
  <si>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</si>
  <si>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</si>
  <si>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</si>
  <si>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</si>
  <si>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</si>
  <si>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</si>
  <si>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</si>
  <si>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</si>
  <si>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</si>
  <si>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</si>
  <si>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</si>
  <si>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</si>
  <si>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</si>
  <si>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</si>
  <si>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</si>
  <si>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</si>
  <si>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</si>
  <si>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</si>
  <si>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</si>
  <si>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</si>
  <si>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</si>
  <si>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</si>
  <si>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</si>
  <si>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</si>
  <si>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</si>
  <si>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</si>
  <si>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</si>
  <si>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</si>
  <si>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</si>
  <si>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</si>
  <si>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</si>
  <si>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</si>
  <si>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</si>
  <si>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</si>
  <si>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</si>
  <si>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</si>
  <si>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</si>
  <si>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</si>
  <si>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</si>
  <si>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</si>
  <si>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</si>
  <si>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</si>
  <si>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</si>
  <si>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</si>
  <si>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</si>
  <si>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</si>
  <si>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</si>
  <si>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</si>
  <si>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</si>
  <si>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</si>
  <si>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</si>
  <si>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</si>
  <si>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</si>
  <si>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</si>
  <si>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</si>
  <si>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</si>
  <si>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</si>
  <si>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</si>
  <si>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</si>
  <si>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</si>
  <si>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</si>
  <si>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</si>
  <si>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</si>
  <si>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</si>
  <si>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</si>
  <si>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</si>
  <si>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</si>
  <si>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</si>
  <si>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</si>
  <si>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</si>
  <si>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</si>
  <si>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</si>
  <si>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</si>
  <si>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</si>
  <si>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</si>
  <si>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</si>
  <si>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</si>
  <si>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</si>
  <si>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</si>
  <si>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</si>
  <si>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</si>
  <si>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</si>
  <si>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</si>
  <si>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</si>
  <si>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</si>
  <si>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</si>
  <si>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</si>
  <si>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</si>
  <si>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</si>
  <si>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</si>
  <si>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</si>
  <si>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</si>
  <si>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</si>
  <si>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</si>
  <si>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</si>
  <si>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</si>
  <si>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</si>
  <si>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</si>
  <si>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</si>
  <si>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</si>
  <si>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</si>
  <si>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</si>
  <si>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</si>
  <si>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</si>
  <si>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</si>
  <si>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</si>
  <si>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</si>
  <si>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</si>
  <si>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</si>
  <si>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</si>
  <si>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</si>
  <si>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</si>
  <si>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</si>
  <si>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</si>
  <si>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</si>
  <si>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</si>
  <si>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</si>
  <si>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</si>
  <si>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</si>
  <si>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</si>
  <si>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</si>
  <si>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</si>
  <si>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</si>
  <si>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</si>
  <si>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</si>
  <si>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</si>
  <si>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</si>
  <si>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</si>
  <si>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</si>
  <si>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</si>
  <si>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</si>
  <si>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</si>
  <si>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</si>
  <si>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</si>
  <si>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</si>
  <si>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</si>
  <si>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</si>
  <si>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</si>
  <si>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</si>
  <si>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</si>
  <si>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</si>
  <si>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</si>
  <si>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</si>
  <si>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</si>
  <si>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</si>
  <si>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</si>
  <si>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</si>
  <si>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</si>
  <si>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</si>
  <si>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</si>
  <si>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</si>
  <si>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</si>
  <si>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</si>
  <si>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</si>
  <si>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</si>
  <si>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</si>
  <si>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</si>
  <si>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</si>
  <si>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</si>
  <si>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</si>
  <si>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</si>
  <si>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</si>
  <si>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</si>
  <si>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</si>
  <si>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</si>
  <si>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</si>
  <si>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</si>
  <si>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</si>
  <si>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</si>
  <si>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</si>
  <si>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</si>
  <si>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</si>
  <si>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</si>
  <si>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</si>
  <si>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</si>
  <si>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</si>
  <si>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</si>
  <si>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</si>
  <si>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</si>
  <si>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</si>
  <si>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</si>
  <si>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</si>
  <si>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</si>
  <si>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</si>
  <si>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</si>
  <si>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</si>
  <si>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</si>
  <si>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</si>
  <si>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</si>
  <si>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</si>
  <si>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</si>
  <si>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</si>
  <si>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</si>
  <si>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</si>
  <si>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</si>
  <si>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</si>
  <si>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</si>
  <si>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</si>
  <si>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</si>
  <si>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</si>
  <si>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</si>
  <si>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</si>
  <si>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</si>
  <si>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</si>
  <si>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</si>
  <si>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</si>
  <si>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</si>
  <si>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</si>
  <si>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</si>
  <si>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</si>
  <si>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</si>
  <si>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</si>
  <si>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</si>
  <si>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</si>
  <si>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</si>
  <si>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</si>
  <si>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</si>
  <si>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</si>
  <si>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</si>
  <si>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</si>
  <si>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</si>
  <si>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</si>
  <si>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</si>
  <si>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</si>
  <si>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</si>
  <si>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</si>
  <si>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</si>
  <si>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</si>
  <si>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</si>
  <si>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</si>
  <si>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</si>
  <si>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</si>
  <si>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</si>
  <si>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</si>
  <si>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</si>
  <si>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</si>
  <si>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</si>
  <si>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</si>
  <si>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</si>
  <si>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</si>
  <si>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</si>
  <si>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</si>
  <si>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</si>
  <si>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</si>
  <si>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</si>
  <si>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</si>
  <si>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</si>
  <si>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</si>
  <si>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</si>
  <si>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</si>
  <si>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</si>
  <si>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</si>
  <si>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</si>
  <si>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</si>
  <si>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</si>
  <si>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</si>
  <si>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</si>
  <si>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</si>
  <si>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</si>
  <si>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</si>
  <si>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</si>
  <si>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</si>
  <si>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</si>
  <si>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</si>
  <si>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</si>
  <si>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</si>
  <si>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</si>
  <si>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</si>
  <si>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</si>
  <si>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</si>
  <si>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</si>
  <si>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</si>
  <si>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</si>
  <si>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</si>
  <si>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</si>
  <si>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</si>
  <si>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</si>
  <si>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</si>
  <si>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</si>
  <si>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</si>
  <si>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</si>
  <si>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</si>
  <si>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</si>
  <si>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</si>
  <si>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</si>
  <si>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</si>
  <si>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</si>
  <si>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</si>
  <si>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</si>
  <si>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</si>
  <si>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</si>
  <si>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</si>
  <si>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</si>
  <si>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</si>
  <si>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</si>
  <si>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</si>
  <si>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</si>
  <si>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</si>
  <si>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</si>
  <si>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</si>
  <si>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</si>
  <si>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</si>
  <si>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</si>
  <si>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</si>
  <si>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</si>
  <si>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</si>
  <si>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</si>
  <si>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</si>
  <si>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</si>
  <si>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</si>
  <si>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</si>
  <si>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</si>
  <si>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</si>
  <si>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</si>
  <si>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</si>
  <si>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</si>
  <si>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</si>
  <si>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</si>
  <si>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</si>
  <si>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</si>
  <si>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</si>
  <si>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</si>
  <si>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</si>
  <si>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</si>
  <si>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</si>
  <si>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</si>
  <si>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</si>
  <si>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</si>
  <si>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</si>
  <si>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</si>
  <si>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</si>
  <si>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</si>
  <si>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</si>
  <si>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</si>
  <si>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</si>
  <si>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</si>
  <si>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</si>
  <si>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</si>
  <si>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</si>
  <si>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</si>
  <si>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</si>
  <si>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</si>
  <si>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</si>
  <si>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</si>
  <si>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</si>
  <si>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</si>
  <si>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</si>
  <si>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</si>
  <si>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</si>
  <si>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</si>
  <si>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</si>
  <si>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</si>
  <si>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</si>
  <si>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</si>
  <si>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</si>
  <si>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</si>
  <si>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</si>
  <si>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</si>
  <si>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</si>
  <si>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</si>
  <si>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</si>
  <si>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</si>
  <si>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</si>
  <si>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</si>
  <si>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</si>
  <si>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</si>
  <si>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</si>
  <si>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</si>
  <si>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</si>
  <si>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</si>
  <si>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</si>
  <si>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</si>
  <si>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</si>
  <si>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</si>
  <si>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</si>
  <si>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</si>
  <si>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</si>
  <si>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</si>
  <si>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</si>
  <si>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</si>
  <si>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</si>
  <si>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</si>
  <si>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</si>
  <si>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</si>
  <si>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</si>
  <si>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</si>
  <si>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</si>
  <si>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</si>
  <si>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</si>
  <si>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</si>
  <si>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</si>
  <si>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</si>
  <si>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</si>
  <si>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</si>
  <si>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</si>
  <si>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</si>
  <si>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</si>
  <si>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</si>
  <si>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</si>
  <si>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</si>
  <si>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</si>
  <si>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</si>
  <si>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</si>
  <si>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</si>
  <si>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</si>
  <si>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</si>
  <si>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</si>
  <si>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</si>
  <si>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</si>
  <si>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</si>
  <si>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</si>
  <si>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</si>
  <si>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</si>
  <si>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</si>
  <si>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</si>
  <si>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</si>
  <si>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</si>
  <si>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</si>
  <si>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</si>
  <si>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</si>
  <si>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</si>
  <si>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</si>
  <si>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</si>
  <si>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</si>
  <si>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</si>
  <si>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</si>
  <si>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</si>
  <si>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</si>
  <si>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</si>
  <si>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</si>
  <si>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</si>
  <si>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</si>
  <si>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</si>
  <si>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</si>
  <si>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</si>
  <si>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</si>
  <si>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</si>
  <si>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</si>
  <si>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</si>
  <si>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</si>
  <si>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</si>
  <si>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</si>
  <si>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</si>
  <si>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</si>
  <si>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</si>
  <si>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</si>
  <si>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</si>
  <si>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</si>
  <si>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</si>
  <si>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</si>
  <si>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</si>
  <si>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</si>
  <si>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</si>
  <si>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</si>
  <si>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</si>
  <si>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</si>
  <si>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</si>
  <si>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</si>
  <si>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</si>
  <si>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</si>
  <si>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</si>
  <si>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</si>
  <si>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</si>
  <si>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</si>
  <si>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</si>
  <si>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</si>
  <si>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</si>
  <si>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</si>
  <si>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</si>
  <si>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</si>
  <si>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</si>
  <si>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</si>
  <si>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</si>
  <si>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</si>
  <si>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</si>
  <si>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</si>
  <si>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</si>
  <si>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</si>
  <si>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</si>
  <si>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</si>
  <si>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</si>
  <si>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</si>
  <si>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</si>
  <si>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</si>
  <si>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</si>
  <si>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</si>
  <si>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</si>
  <si>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</si>
  <si>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</si>
  <si>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</si>
  <si>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</si>
  <si>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</si>
  <si>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</si>
  <si>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</si>
  <si>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</si>
  <si>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</si>
  <si>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</si>
  <si>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</si>
  <si>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</si>
  <si>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</si>
  <si>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</si>
  <si>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</si>
  <si>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</si>
  <si>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</si>
  <si>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</si>
  <si>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</si>
  <si>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</si>
  <si>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</si>
  <si>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</si>
  <si>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</si>
  <si>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</si>
  <si>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</si>
  <si>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</si>
  <si>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</si>
  <si>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</si>
  <si>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</si>
  <si>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</si>
  <si>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</si>
  <si>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</si>
  <si>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</si>
  <si>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</si>
  <si>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</si>
  <si>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</si>
  <si>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</si>
  <si>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</si>
  <si>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</si>
  <si>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</si>
  <si>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</si>
  <si>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</si>
  <si>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</si>
  <si>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</si>
  <si>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</si>
  <si>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</si>
  <si>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</si>
  <si>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</si>
  <si>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</si>
  <si>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</si>
  <si>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</si>
  <si>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</si>
  <si>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</si>
  <si>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</si>
  <si>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</si>
  <si>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</si>
  <si>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</si>
  <si>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</si>
  <si>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</si>
  <si>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</si>
  <si>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</si>
  <si>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</si>
  <si>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</si>
  <si>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</si>
  <si>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</si>
  <si>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</si>
  <si>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</si>
  <si>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</si>
  <si>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</si>
  <si>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</si>
  <si>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</si>
  <si>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</si>
  <si>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</si>
  <si>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</si>
  <si>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</si>
  <si>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</si>
  <si>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</si>
  <si>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</si>
  <si>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</si>
  <si>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</si>
  <si>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</si>
  <si>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</si>
  <si>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</si>
  <si>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</si>
  <si>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</si>
  <si>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</si>
  <si>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</si>
  <si>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</si>
  <si>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</si>
  <si>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</si>
  <si>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</si>
  <si>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</si>
  <si>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</si>
  <si>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</si>
  <si>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</si>
  <si>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</si>
  <si>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</si>
  <si>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</si>
  <si>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</si>
  <si>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</si>
  <si>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</si>
  <si>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</si>
  <si>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</si>
  <si>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</si>
  <si>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</si>
  <si>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</si>
  <si>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</si>
  <si>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</si>
  <si>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</si>
  <si>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</si>
  <si>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</si>
  <si>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</si>
  <si>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</si>
  <si>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</si>
  <si>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</si>
  <si>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</si>
  <si>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</si>
  <si>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</si>
  <si>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</si>
  <si>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</si>
  <si>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</si>
  <si>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</si>
  <si>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</si>
  <si>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</si>
  <si>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</si>
  <si>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</si>
  <si>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</si>
  <si>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</si>
  <si>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</si>
  <si>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</si>
  <si>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</si>
  <si>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</si>
  <si>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</si>
  <si>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</si>
  <si>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</si>
  <si>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</si>
  <si>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</si>
  <si>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</si>
  <si>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</si>
  <si>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</si>
  <si>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</si>
  <si>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</si>
  <si>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</si>
  <si>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</si>
  <si>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</si>
  <si>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</si>
  <si>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</si>
  <si>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</si>
  <si>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</si>
  <si>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</si>
  <si>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</si>
  <si>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</si>
  <si>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</si>
  <si>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</si>
  <si>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</si>
  <si>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</si>
  <si>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</si>
  <si>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</si>
  <si>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</si>
  <si>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</si>
  <si>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</si>
  <si>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</si>
  <si>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</si>
  <si>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</si>
  <si>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</si>
  <si>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</si>
  <si>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</si>
  <si>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</si>
  <si>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</si>
  <si>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</si>
  <si>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</si>
  <si>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</si>
  <si>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</si>
  <si>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</si>
  <si>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</si>
  <si>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</si>
  <si>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</si>
  <si>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</si>
  <si>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</si>
  <si>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</si>
  <si>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</si>
  <si>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</si>
  <si>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</si>
  <si>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</si>
  <si>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</si>
  <si>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</si>
  <si>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</si>
  <si>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</si>
  <si>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</si>
  <si>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</si>
  <si>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</si>
  <si>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</si>
  <si>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</si>
  <si>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</si>
  <si>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</si>
  <si>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</si>
  <si>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</si>
  <si>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</si>
  <si>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</si>
  <si>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</si>
  <si>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</si>
  <si>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</si>
  <si>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</si>
  <si>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</si>
  <si>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</si>
  <si>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</si>
  <si>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</si>
  <si>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</si>
  <si>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</si>
  <si>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</si>
  <si>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</si>
  <si>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</si>
  <si>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</si>
  <si>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</si>
  <si>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</si>
  <si>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</si>
  <si>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</si>
  <si>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</si>
  <si>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</si>
  <si>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</si>
  <si>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</si>
  <si>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</si>
  <si>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</si>
  <si>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</si>
  <si>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</si>
  <si>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</si>
  <si>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</si>
  <si>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</si>
  <si>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</si>
  <si>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</si>
  <si>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</si>
  <si>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</si>
  <si>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</si>
  <si>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</si>
  <si>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</si>
  <si>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</si>
  <si>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</si>
  <si>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</si>
  <si>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</si>
  <si>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</si>
  <si>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</si>
  <si>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</si>
  <si>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</si>
  <si>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</si>
  <si>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</si>
  <si>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</si>
  <si>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</si>
  <si>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</si>
  <si>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</si>
  <si>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</si>
  <si>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</si>
  <si>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</si>
  <si>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</si>
  <si>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</si>
  <si>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</si>
  <si>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</si>
  <si>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</si>
  <si>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</si>
  <si>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</si>
  <si>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</si>
  <si>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</si>
  <si>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</si>
  <si>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</si>
  <si>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</si>
  <si>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</si>
  <si>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</si>
  <si>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</si>
  <si>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</si>
  <si>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</si>
  <si>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</si>
  <si>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</si>
  <si>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</si>
  <si>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</si>
  <si>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</si>
  <si>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</si>
  <si>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</si>
  <si>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</si>
  <si>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</si>
  <si>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</si>
  <si>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</si>
  <si>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</si>
  <si>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</si>
  <si>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</si>
  <si>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</si>
  <si>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</si>
  <si>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</si>
  <si>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</si>
  <si>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</si>
  <si>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</si>
  <si>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</si>
  <si>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</si>
  <si>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</si>
  <si>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</si>
  <si>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</si>
  <si>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</si>
  <si>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</si>
  <si>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</si>
  <si>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</si>
  <si>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</si>
  <si>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</si>
  <si>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</si>
  <si>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</si>
  <si>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</si>
  <si>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</si>
  <si>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</si>
  <si>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</si>
  <si>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</si>
  <si>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</si>
  <si>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</si>
  <si>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</si>
  <si>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</si>
  <si>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</si>
  <si>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</si>
  <si>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</si>
  <si>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</si>
  <si>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</si>
  <si>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</si>
  <si>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</si>
  <si>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</si>
  <si>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</si>
  <si>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</si>
  <si>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</si>
  <si>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</si>
  <si>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</si>
  <si>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</si>
  <si>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</si>
  <si>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</si>
  <si>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</si>
  <si>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</si>
  <si>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</si>
  <si>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</si>
  <si>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</si>
  <si>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</si>
  <si>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</si>
  <si>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</si>
  <si>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</si>
  <si>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</si>
  <si>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</si>
  <si>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</si>
  <si>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</si>
  <si>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</si>
  <si>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</si>
  <si>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</si>
  <si>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</si>
  <si>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</si>
  <si>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</si>
  <si>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</si>
  <si>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</si>
  <si>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</si>
  <si>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</si>
  <si>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</si>
  <si>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</si>
  <si>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</si>
  <si>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</si>
  <si>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</si>
  <si>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</si>
  <si>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</si>
  <si>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</si>
  <si>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</si>
  <si>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</si>
  <si>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</si>
  <si>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</si>
  <si>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</si>
  <si>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</si>
  <si>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</si>
  <si>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</si>
  <si>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</si>
  <si>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</si>
  <si>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</si>
  <si>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</si>
  <si>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</si>
  <si>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</si>
  <si>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</si>
  <si>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</si>
  <si>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</si>
  <si>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</si>
  <si>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</si>
  <si>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</si>
  <si>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</si>
  <si>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</si>
  <si>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</si>
  <si>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</si>
  <si>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</si>
  <si>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</si>
  <si>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</si>
  <si>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</si>
  <si>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</si>
  <si>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</si>
  <si>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</si>
  <si>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</si>
  <si>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</si>
  <si>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</si>
  <si>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</si>
  <si>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</si>
  <si>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</si>
  <si>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</si>
  <si>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</si>
  <si>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</si>
  <si>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</si>
  <si>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</si>
  <si>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</si>
  <si>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</si>
  <si>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</si>
  <si>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</si>
  <si>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</si>
  <si>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</si>
  <si>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</si>
  <si>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</si>
  <si>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</si>
  <si>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</si>
  <si>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</si>
  <si>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</si>
  <si>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</si>
  <si>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</si>
  <si>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</si>
  <si>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</si>
  <si>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</si>
  <si>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</si>
  <si>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</si>
  <si>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</si>
  <si>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</si>
  <si>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</si>
  <si>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</si>
  <si>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</si>
  <si>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</si>
  <si>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</si>
  <si>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</si>
  <si>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</si>
  <si>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</si>
  <si>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</si>
  <si>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</si>
  <si>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</si>
  <si>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</si>
  <si>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</si>
  <si>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</si>
  <si>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</si>
  <si>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</si>
  <si>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</si>
  <si>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</si>
  <si>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</si>
  <si>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</si>
  <si>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</si>
  <si>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</si>
  <si>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</si>
  <si>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</si>
  <si>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</si>
  <si>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</si>
  <si>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</si>
  <si>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</si>
  <si>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</si>
  <si>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</si>
  <si>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</si>
  <si>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</si>
  <si>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</si>
  <si>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</si>
  <si>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</si>
  <si>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</si>
  <si>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</si>
  <si>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</si>
  <si>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</si>
  <si>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</si>
  <si>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</si>
  <si>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</si>
  <si>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</si>
  <si>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</si>
  <si>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</si>
  <si>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</si>
  <si>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</si>
  <si>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</si>
  <si>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</si>
  <si>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</si>
  <si>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</si>
  <si>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</si>
  <si>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</si>
  <si>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</si>
  <si>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</si>
  <si>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</si>
  <si>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</si>
  <si>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</si>
  <si>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</si>
  <si>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</si>
  <si>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</si>
  <si>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</si>
  <si>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</si>
  <si>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</si>
  <si>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</si>
  <si>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</si>
  <si>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</si>
  <si>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</si>
  <si>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</si>
  <si>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</si>
  <si>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</si>
  <si>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</si>
  <si>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</si>
  <si>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</si>
  <si>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</si>
  <si>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</si>
  <si>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</si>
  <si>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Manchester 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</si>
</sst>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335</v>
      </c>
      <c r="C2" s="21">
        <v>335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200+2354096.22+4715573.17+466.94-0.2</f>
        <v>7070336.1300000008</v>
      </c>
      <c r="G9" s="18">
        <f>244232.16+50</f>
        <v>244282.16</v>
      </c>
      <c r="H9" s="18">
        <v>1400</v>
      </c>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1518856.77</v>
      </c>
      <c r="G12" s="18">
        <v>79760.58</v>
      </c>
      <c r="H12" s="18"/>
      <c r="I12" s="18"/>
      <c r="J12" s="67">
        <f>SUM(I441)</f>
        <v>566777.57999999996</v>
      </c>
      <c r="K12" s="24" t="s">
        <v>288</v>
      </c>
      <c r="L12" s="24" t="s">
        <v>288</v>
      </c>
      <c r="M12" s="8"/>
      <c r="N12" s="266"/>
    </row>
    <row r="13" spans="1:14" s="3" customFormat="1" ht="12.2" customHeight="1" x14ac:dyDescent="0.15">
      <c r="A13" s="1" t="s">
        <v>604</v>
      </c>
      <c r="B13" s="2" t="s">
        <v>289</v>
      </c>
      <c r="C13" s="6">
        <v>5</v>
      </c>
      <c r="D13" s="2" t="s">
        <v>428</v>
      </c>
      <c r="E13" s="6">
        <v>140</v>
      </c>
      <c r="F13" s="18">
        <f>30261084.72</f>
        <v>30261084.719999999</v>
      </c>
      <c r="G13" s="18">
        <v>186187.79</v>
      </c>
      <c r="H13" s="18">
        <f>105150.86+86954.89</f>
        <v>192105.75</v>
      </c>
      <c r="I13" s="18"/>
      <c r="J13" s="67">
        <f>SUM(I442)</f>
        <v>994055.96</v>
      </c>
      <c r="K13" s="24" t="s">
        <v>288</v>
      </c>
      <c r="L13" s="24" t="s">
        <v>288</v>
      </c>
      <c r="M13" s="8"/>
      <c r="N13" s="266"/>
    </row>
    <row r="14" spans="1:14" s="3" customFormat="1" ht="12.2" customHeight="1" x14ac:dyDescent="0.15">
      <c r="A14" s="1" t="s">
        <v>565</v>
      </c>
      <c r="B14" s="2" t="s">
        <v>289</v>
      </c>
      <c r="C14" s="6">
        <v>6</v>
      </c>
      <c r="D14" s="2" t="s">
        <v>428</v>
      </c>
      <c r="E14" s="6">
        <v>150</v>
      </c>
      <c r="F14" s="18">
        <f>72291.74+440675.35</f>
        <v>512967.08999999997</v>
      </c>
      <c r="G14" s="18">
        <f>6448.39</f>
        <v>6448.39</v>
      </c>
      <c r="H14" s="18">
        <v>3473004.9</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39502.199999999997</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20248.72</v>
      </c>
      <c r="G17" s="18"/>
      <c r="H17" s="18">
        <v>5258.64</v>
      </c>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39383493.43</v>
      </c>
      <c r="G19" s="41">
        <f>SUM(G9:G18)</f>
        <v>556181.12</v>
      </c>
      <c r="H19" s="41">
        <f>SUM(H9:H18)</f>
        <v>3671769.29</v>
      </c>
      <c r="I19" s="41">
        <f>SUM(I9:I18)</f>
        <v>0</v>
      </c>
      <c r="J19" s="41">
        <f>SUM(J9:J18)</f>
        <v>1560833.54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2165394.9300000002</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1506208.23+329897.19+11979.04</f>
        <v>1848084.46</v>
      </c>
      <c r="G24" s="18">
        <v>32235.360000000001</v>
      </c>
      <c r="H24" s="18">
        <v>369212.51</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2993279.87</v>
      </c>
      <c r="G28" s="18">
        <v>17254.3</v>
      </c>
      <c r="H28" s="18">
        <v>518764.68</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206271.28+93458.17+30886.65+1484019.9+2591.15+7647.78+2500.79</f>
        <v>1827375.72</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32384704.699999999</v>
      </c>
      <c r="G30" s="18">
        <f>40012.91+11887.68+16198.93+2965.59</f>
        <v>71065.11</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39053444.75</v>
      </c>
      <c r="G32" s="41">
        <f>SUM(G22:G31)</f>
        <v>120554.77</v>
      </c>
      <c r="H32" s="41">
        <f>SUM(H22:H31)</f>
        <v>3053372.1200000006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39502.199999999997</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20248.72</v>
      </c>
      <c r="G36" s="18"/>
      <c r="H36" s="18">
        <v>5258.64</v>
      </c>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396124.15</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f>172669.97+18632.35</f>
        <v>191302.32</v>
      </c>
      <c r="G48" s="18"/>
      <c r="H48" s="18">
        <v>613138.53</v>
      </c>
      <c r="I48" s="18"/>
      <c r="J48" s="13">
        <f>SUM(I459)</f>
        <v>1560833.54</v>
      </c>
      <c r="K48" s="24" t="s">
        <v>288</v>
      </c>
      <c r="L48" s="24" t="s">
        <v>288</v>
      </c>
      <c r="M48" s="8"/>
      <c r="N48" s="266"/>
    </row>
    <row r="49" spans="1:14" s="3" customFormat="1" ht="12.2" customHeight="1" x14ac:dyDescent="0.15">
      <c r="A49" s="1" t="s">
        <v>859</v>
      </c>
      <c r="B49" s="2" t="s">
        <v>289</v>
      </c>
      <c r="C49" s="6">
        <v>34</v>
      </c>
      <c r="D49" s="2"/>
      <c r="E49" s="6">
        <v>753</v>
      </c>
      <c r="F49" s="18">
        <v>118497.64</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330048.68</v>
      </c>
      <c r="G51" s="41">
        <f>SUM(G35:G50)</f>
        <v>435626.35000000003</v>
      </c>
      <c r="H51" s="41">
        <f>SUM(H35:H50)</f>
        <v>618397.17000000004</v>
      </c>
      <c r="I51" s="41">
        <f>SUM(I35:I50)</f>
        <v>0</v>
      </c>
      <c r="J51" s="41">
        <f>SUM(J35:J50)</f>
        <v>1560833.54</v>
      </c>
      <c r="K51" s="45" t="s">
        <v>288</v>
      </c>
      <c r="L51" s="45" t="s">
        <v>288</v>
      </c>
      <c r="N51" s="264"/>
    </row>
    <row r="52" spans="1:14" s="3" customFormat="1" ht="12.2" customHeight="1" thickTop="1" x14ac:dyDescent="0.15">
      <c r="A52" s="38" t="s">
        <v>455</v>
      </c>
      <c r="B52" s="39" t="s">
        <v>289</v>
      </c>
      <c r="C52" s="6">
        <v>37</v>
      </c>
      <c r="D52" s="39" t="s">
        <v>653</v>
      </c>
      <c r="E52" s="39"/>
      <c r="F52" s="41">
        <f>F51+F32</f>
        <v>39383493.43</v>
      </c>
      <c r="G52" s="41">
        <f>G51+G32</f>
        <v>556181.12</v>
      </c>
      <c r="H52" s="41">
        <f>H51+H32</f>
        <v>3671769.2900000005</v>
      </c>
      <c r="I52" s="41">
        <f>I51+I32</f>
        <v>0</v>
      </c>
      <c r="J52" s="41">
        <f>J51+J32</f>
        <v>1560833.54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82305752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v>137227.28</v>
      </c>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82305752</v>
      </c>
      <c r="G60" s="41">
        <f>SUM(G57:G59)</f>
        <v>0</v>
      </c>
      <c r="H60" s="41">
        <f>SUM(H57:H59)</f>
        <v>137227.28</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46274.19+8339.24</f>
        <v>54613.43</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v>14733.48</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f>1807983.16+124930</f>
        <v>1932913.16</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420336.29</v>
      </c>
      <c r="G69" s="24" t="s">
        <v>288</v>
      </c>
      <c r="H69" s="18">
        <v>2847486.54</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381337.08</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2789199.96</v>
      </c>
      <c r="G79" s="45" t="s">
        <v>288</v>
      </c>
      <c r="H79" s="41">
        <f>SUM(H63:H78)</f>
        <v>2862220.02</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517225.09</v>
      </c>
      <c r="G96" s="18"/>
      <c r="H96" s="18"/>
      <c r="I96" s="18"/>
      <c r="J96" s="18">
        <v>60140</v>
      </c>
      <c r="K96" s="24" t="s">
        <v>288</v>
      </c>
      <c r="L96" s="24" t="s">
        <v>288</v>
      </c>
      <c r="M96" s="8"/>
      <c r="N96" s="266"/>
    </row>
    <row r="97" spans="1:14" s="3" customFormat="1" ht="12.2" customHeight="1" x14ac:dyDescent="0.15">
      <c r="A97" s="1" t="s">
        <v>503</v>
      </c>
      <c r="B97" s="2" t="s">
        <v>315</v>
      </c>
      <c r="C97" s="6">
        <v>12</v>
      </c>
      <c r="D97" s="2" t="s">
        <v>430</v>
      </c>
      <c r="E97" s="6">
        <v>1600</v>
      </c>
      <c r="F97" s="24" t="s">
        <v>288</v>
      </c>
      <c r="G97" s="18">
        <f>-0.05+676808.5+65646.5+332181.25-257.7+33665.02</f>
        <v>1108043.52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33719</v>
      </c>
      <c r="G98" s="24" t="s">
        <v>288</v>
      </c>
      <c r="H98" s="18">
        <v>27643.5</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15331.72</v>
      </c>
      <c r="G101" s="18"/>
      <c r="H101" s="18">
        <v>566.24</v>
      </c>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550610.64+100536+52509.75</f>
        <v>703656.39</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51</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414875+1646.89</f>
        <v>416521.89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982848.70000000007</v>
      </c>
      <c r="G111" s="41">
        <f>SUM(G96:G110)</f>
        <v>1108043.52</v>
      </c>
      <c r="H111" s="41">
        <f>SUM(H96:H110)</f>
        <v>731866.13</v>
      </c>
      <c r="I111" s="41">
        <f>SUM(I96:I110)</f>
        <v>0</v>
      </c>
      <c r="J111" s="41">
        <f>SUM(J96:J110)</f>
        <v>60140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86077800.659999996</v>
      </c>
      <c r="G112" s="41">
        <f>G60+G111</f>
        <v>1108043.52</v>
      </c>
      <c r="H112" s="41">
        <f>H60+H79+H94+H111</f>
        <v>3731313.4299999997</v>
      </c>
      <c r="I112" s="41">
        <f>I60+I111</f>
        <v>0</v>
      </c>
      <c r="J112" s="41">
        <f>J60+J111</f>
        <v>60140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56687983.509999998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20114604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140739.10999999999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76943326.61999999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3253465.87</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1114546.29</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1208087.5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665051.79</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85448.41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27122.799999999999</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6241151.4500000002</v>
      </c>
      <c r="G136" s="41">
        <f>SUM(G123:G135)</f>
        <v>85448.41</v>
      </c>
      <c r="H136" s="41">
        <f>SUM(H123:H135)</f>
        <v>27122.799999999999</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83184478.069999993</v>
      </c>
      <c r="G140" s="41">
        <f>G121+SUM(G136:G137)</f>
        <v>85448.41</v>
      </c>
      <c r="H140" s="41">
        <f>H121+SUM(H136:H139)</f>
        <v>27122.799999999999</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v>329747.40999999997</v>
      </c>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329747.40999999997</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7120404.0199999996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2377430.7599999998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629570.53</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276139.86</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4031922.92+144518.07</f>
        <v>4176440.9899999998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3602307.16</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1626638.04</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92349.89</v>
      </c>
      <c r="G161" s="18"/>
      <c r="H161" s="18">
        <v>464481.64</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1718987.93</v>
      </c>
      <c r="G162" s="41">
        <f>SUM(G150:G161)</f>
        <v>4176440.9899999998</v>
      </c>
      <c r="H162" s="41">
        <f>SUM(H150:H161)</f>
        <v>14470333.969999999</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1718987.93</v>
      </c>
      <c r="G169" s="41">
        <f>G147+G162+SUM(G163:G168)</f>
        <v>4506188.3999999994</v>
      </c>
      <c r="H169" s="41">
        <f>H147+H162+SUM(H163:H168)</f>
        <v>14470333.969999999</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566778</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v>161635.85999999999</v>
      </c>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161635.85999999999</v>
      </c>
      <c r="G183" s="41">
        <f>SUM(G179:G182)</f>
        <v>0</v>
      </c>
      <c r="H183" s="41">
        <f>SUM(H179:H182)</f>
        <v>0</v>
      </c>
      <c r="I183" s="41">
        <f>SUM(I179:I182)</f>
        <v>0</v>
      </c>
      <c r="J183" s="41">
        <f>SUM(J179:J182)</f>
        <v>566778</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161635.85999999999</v>
      </c>
      <c r="G192" s="41">
        <f>G183+SUM(G188:G191)</f>
        <v>0</v>
      </c>
      <c r="H192" s="41">
        <f>+H183+SUM(H188:H191)</f>
        <v>0</v>
      </c>
      <c r="I192" s="41">
        <f>I177+I183+SUM(I188:I191)</f>
        <v>0</v>
      </c>
      <c r="J192" s="41">
        <f>J183</f>
        <v>566778</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171142902.52000001</v>
      </c>
      <c r="G193" s="47">
        <f>G112+G140+G169+G192</f>
        <v>5699680.3299999991</v>
      </c>
      <c r="H193" s="47">
        <f>H112+H140+H169+H192</f>
        <v>18228770.199999999</v>
      </c>
      <c r="I193" s="47">
        <f>I112+I140+I169+I192</f>
        <v>0</v>
      </c>
      <c r="J193" s="47">
        <f>J112+J140+J192</f>
        <v>626918</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19208044.44+61649.72-0.08</f>
        <v>19269694.080000002</v>
      </c>
      <c r="G197" s="18">
        <f>9302972.46-148161.93+2218.17</f>
        <v>9157028.7000000011</v>
      </c>
      <c r="H197" s="18">
        <f>4153.88+1000+280.5+10491.21+1672.3+466.26+3622.5</f>
        <v>21686.649999999998</v>
      </c>
      <c r="I197" s="18">
        <f>127885.36+54315.75+136.08</f>
        <v>182337.18999999997</v>
      </c>
      <c r="J197" s="18">
        <f>24929.08</f>
        <v>24929.08</v>
      </c>
      <c r="K197" s="18"/>
      <c r="L197" s="19">
        <f>SUM(F197:K197)</f>
        <v>28655675.699999999</v>
      </c>
      <c r="M197" s="8"/>
      <c r="N197" s="266"/>
    </row>
    <row r="198" spans="1:14" s="3" customFormat="1" ht="12.2" customHeight="1" x14ac:dyDescent="0.15">
      <c r="A198" s="1" t="s">
        <v>439</v>
      </c>
      <c r="B198" s="2" t="s">
        <v>341</v>
      </c>
      <c r="C198" s="2" t="s">
        <v>291</v>
      </c>
      <c r="D198" s="2" t="s">
        <v>431</v>
      </c>
      <c r="E198" s="6">
        <v>1200</v>
      </c>
      <c r="F198" s="18">
        <f>9274777.43+344512.32</f>
        <v>9619289.75</v>
      </c>
      <c r="G198" s="18">
        <f>5994765.98+95902.08</f>
        <v>6090668.0600000005</v>
      </c>
      <c r="H198" s="18">
        <f>571998.69+2000+65+500+1702897.5+4315.76+85733.79</f>
        <v>2367510.7399999998</v>
      </c>
      <c r="I198" s="18">
        <f>35797.47+246.46+12410.87</f>
        <v>48454.8</v>
      </c>
      <c r="J198" s="18">
        <f>2835.45+358.2</f>
        <v>3193.6499999999996</v>
      </c>
      <c r="K198" s="18">
        <f>233.64</f>
        <v>233.64</v>
      </c>
      <c r="L198" s="19">
        <f>SUM(F198:K198)</f>
        <v>18129350.640000001</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29870.44</f>
        <v>29870.44</v>
      </c>
      <c r="G200" s="18">
        <f>5748.25</f>
        <v>5748.25</v>
      </c>
      <c r="H200" s="18">
        <f>420</f>
        <v>420</v>
      </c>
      <c r="I200" s="18"/>
      <c r="J200" s="18"/>
      <c r="K200" s="18"/>
      <c r="L200" s="19">
        <f>SUM(F200:K200)</f>
        <v>36038.69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2903953.59+135913.89</f>
        <v>3039867.48</v>
      </c>
      <c r="G202" s="18">
        <f>1408309.59+69014.15</f>
        <v>1477323.74</v>
      </c>
      <c r="H202" s="18">
        <f>1116007.14+2603.59+129991.54</f>
        <v>1248602.27</v>
      </c>
      <c r="I202" s="18">
        <f>881.79</f>
        <v>881.79</v>
      </c>
      <c r="J202" s="18"/>
      <c r="K202" s="18">
        <v>754792.16</v>
      </c>
      <c r="L202" s="19">
        <f t="shared" ref="L202:L208" si="0">SUM(F202:K202)</f>
        <v>6521467.4400000004</v>
      </c>
      <c r="M202" s="8"/>
      <c r="N202" s="266"/>
    </row>
    <row r="203" spans="1:14" s="3" customFormat="1" ht="12.2" customHeight="1" x14ac:dyDescent="0.15">
      <c r="A203" s="1" t="s">
        <v>443</v>
      </c>
      <c r="B203" s="2" t="s">
        <v>341</v>
      </c>
      <c r="C203" s="2" t="s">
        <v>295</v>
      </c>
      <c r="D203" s="2" t="s">
        <v>431</v>
      </c>
      <c r="E203" s="6">
        <v>2200</v>
      </c>
      <c r="F203" s="18">
        <f>863090.85+21129.54</f>
        <v>884220.39</v>
      </c>
      <c r="G203" s="18">
        <f>431249.23+56670.31+38244.01+7255.09</f>
        <v>533418.6399999999</v>
      </c>
      <c r="H203" s="18">
        <f>27.58+5626.86</f>
        <v>5654.44</v>
      </c>
      <c r="I203" s="18">
        <f>186.66+49987.1+158.65+1404</f>
        <v>51736.41</v>
      </c>
      <c r="J203" s="18"/>
      <c r="K203" s="18"/>
      <c r="L203" s="19">
        <f t="shared" si="0"/>
        <v>1475029.8799999997</v>
      </c>
      <c r="M203" s="8"/>
      <c r="N203" s="266"/>
    </row>
    <row r="204" spans="1:14" s="3" customFormat="1" ht="12.2" customHeight="1" x14ac:dyDescent="0.15">
      <c r="A204" s="1" t="s">
        <v>444</v>
      </c>
      <c r="B204" s="2" t="s">
        <v>341</v>
      </c>
      <c r="C204" s="2" t="s">
        <v>296</v>
      </c>
      <c r="D204" s="2" t="s">
        <v>431</v>
      </c>
      <c r="E204" s="6">
        <v>2300</v>
      </c>
      <c r="F204" s="18">
        <f>388702.96</f>
        <v>388702.96</v>
      </c>
      <c r="G204" s="18">
        <f>204734.86</f>
        <v>204734.86</v>
      </c>
      <c r="H204" s="18">
        <f>5559.72+92225.93</f>
        <v>97785.65</v>
      </c>
      <c r="I204" s="18">
        <f>1216.44</f>
        <v>1216.44</v>
      </c>
      <c r="J204" s="18">
        <v>0</v>
      </c>
      <c r="K204" s="18">
        <v>3828.98</v>
      </c>
      <c r="L204" s="19">
        <f t="shared" si="0"/>
        <v>696268.89</v>
      </c>
      <c r="M204" s="8"/>
      <c r="N204" s="266"/>
    </row>
    <row r="205" spans="1:14" s="3" customFormat="1" ht="12.2" customHeight="1" x14ac:dyDescent="0.15">
      <c r="A205" s="1" t="s">
        <v>445</v>
      </c>
      <c r="B205" s="2" t="s">
        <v>341</v>
      </c>
      <c r="C205" s="2" t="s">
        <v>297</v>
      </c>
      <c r="D205" s="2" t="s">
        <v>431</v>
      </c>
      <c r="E205" s="6">
        <v>2400</v>
      </c>
      <c r="F205" s="18">
        <f>3235917.19</f>
        <v>3235917.19</v>
      </c>
      <c r="G205" s="18">
        <f>1491392.69</f>
        <v>1491392.69</v>
      </c>
      <c r="H205" s="18">
        <f>37777.81+2066.51</f>
        <v>39844.32</v>
      </c>
      <c r="I205" s="18">
        <f>567.03</f>
        <v>567.03</v>
      </c>
      <c r="J205" s="18"/>
      <c r="K205" s="18">
        <v>260</v>
      </c>
      <c r="L205" s="19">
        <f t="shared" si="0"/>
        <v>4767981.2300000004</v>
      </c>
      <c r="M205" s="8"/>
      <c r="N205" s="266"/>
    </row>
    <row r="206" spans="1:14" s="3" customFormat="1" ht="12.2" customHeight="1" x14ac:dyDescent="0.15">
      <c r="A206" s="1" t="s">
        <v>446</v>
      </c>
      <c r="B206" s="2" t="s">
        <v>341</v>
      </c>
      <c r="C206" s="2" t="s">
        <v>298</v>
      </c>
      <c r="D206" s="2" t="s">
        <v>431</v>
      </c>
      <c r="E206" s="6">
        <v>2500</v>
      </c>
      <c r="F206" s="18">
        <f>249092.28</f>
        <v>249092.28</v>
      </c>
      <c r="G206" s="18">
        <f>134364.85</f>
        <v>134364.85</v>
      </c>
      <c r="H206" s="18">
        <f>32521.63</f>
        <v>32521.63</v>
      </c>
      <c r="I206" s="18">
        <f>21634.24</f>
        <v>21634.240000000002</v>
      </c>
      <c r="J206" s="18"/>
      <c r="K206" s="18">
        <v>47392.2</v>
      </c>
      <c r="L206" s="19">
        <f t="shared" si="0"/>
        <v>485005.2</v>
      </c>
      <c r="M206" s="8"/>
      <c r="N206" s="266"/>
    </row>
    <row r="207" spans="1:14" s="3" customFormat="1" ht="12.2" customHeight="1" x14ac:dyDescent="0.15">
      <c r="A207" s="1" t="s">
        <v>447</v>
      </c>
      <c r="B207" s="2" t="s">
        <v>341</v>
      </c>
      <c r="C207" s="2" t="s">
        <v>299</v>
      </c>
      <c r="D207" s="2" t="s">
        <v>431</v>
      </c>
      <c r="E207" s="6">
        <v>2600</v>
      </c>
      <c r="F207" s="18"/>
      <c r="G207" s="18"/>
      <c r="H207" s="18">
        <f>54129.24+41118.5+73493+17410.41+1385756.52</f>
        <v>1571907.67</v>
      </c>
      <c r="I207" s="18">
        <f>308084.77+452975.79+3871.17</f>
        <v>764931.7300000001</v>
      </c>
      <c r="J207" s="18"/>
      <c r="K207" s="18">
        <v>84.6</v>
      </c>
      <c r="L207" s="19">
        <f t="shared" si="0"/>
        <v>2336924</v>
      </c>
      <c r="M207" s="8"/>
      <c r="N207" s="266"/>
    </row>
    <row r="208" spans="1:14" s="3" customFormat="1" ht="12.2" customHeight="1" x14ac:dyDescent="0.15">
      <c r="A208" s="1" t="s">
        <v>448</v>
      </c>
      <c r="B208" s="2" t="s">
        <v>341</v>
      </c>
      <c r="C208" s="2" t="s">
        <v>300</v>
      </c>
      <c r="D208" s="2" t="s">
        <v>431</v>
      </c>
      <c r="E208" s="6">
        <v>2700</v>
      </c>
      <c r="F208" s="18">
        <v>17942.099999999999</v>
      </c>
      <c r="G208" s="18">
        <v>11009.67</v>
      </c>
      <c r="H208" s="18">
        <v>2330104.5699999998</v>
      </c>
      <c r="I208" s="18">
        <v>27.04</v>
      </c>
      <c r="J208" s="18"/>
      <c r="K208" s="18"/>
      <c r="L208" s="19">
        <f t="shared" si="0"/>
        <v>2359083.38</v>
      </c>
      <c r="M208" s="8"/>
      <c r="N208" s="266"/>
    </row>
    <row r="209" spans="1:14" s="3" customFormat="1" ht="12.2" customHeight="1" x14ac:dyDescent="0.15">
      <c r="A209" s="1" t="s">
        <v>449</v>
      </c>
      <c r="B209" s="2" t="s">
        <v>341</v>
      </c>
      <c r="C209" s="2" t="s">
        <v>343</v>
      </c>
      <c r="D209" s="2" t="s">
        <v>431</v>
      </c>
      <c r="E209" s="6">
        <v>2800</v>
      </c>
      <c r="F209" s="18">
        <f>279088.47</f>
        <v>279088.46999999997</v>
      </c>
      <c r="G209" s="18">
        <f>133341.68</f>
        <v>133341.68</v>
      </c>
      <c r="H209" s="18">
        <f>9828+158612.14</f>
        <v>168440.14</v>
      </c>
      <c r="I209" s="18">
        <f>78207.18-32960.65</f>
        <v>45246.529999999992</v>
      </c>
      <c r="J209" s="18">
        <f>744.12</f>
        <v>744.12</v>
      </c>
      <c r="K209" s="18"/>
      <c r="L209" s="19">
        <f>SUM(F209:K209)</f>
        <v>626860.94000000006</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37013685.140000008</v>
      </c>
      <c r="G211" s="41">
        <f t="shared" si="1"/>
        <v>19239031.140000004</v>
      </c>
      <c r="H211" s="41">
        <f t="shared" si="1"/>
        <v>7884478.0799999991</v>
      </c>
      <c r="I211" s="41">
        <f t="shared" si="1"/>
        <v>1117033.2000000002</v>
      </c>
      <c r="J211" s="41">
        <f t="shared" si="1"/>
        <v>28866.850000000002</v>
      </c>
      <c r="K211" s="41">
        <f t="shared" si="1"/>
        <v>806591.58</v>
      </c>
      <c r="L211" s="41">
        <f t="shared" si="1"/>
        <v>66089685.990000002</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11847128.13+35962.34</f>
        <v>11883090.470000001</v>
      </c>
      <c r="G215" s="18">
        <f>5866898.5-101373.95</f>
        <v>5765524.5499999998</v>
      </c>
      <c r="H215" s="18">
        <f>29952.05+2365+1014.43+4678.55+2478.24+63.19+2113.13</f>
        <v>42664.59</v>
      </c>
      <c r="I215" s="18">
        <f>68573.02+17290.3+79.38</f>
        <v>85942.700000000012</v>
      </c>
      <c r="J215" s="18">
        <f>113</f>
        <v>113</v>
      </c>
      <c r="K215" s="18">
        <v>260</v>
      </c>
      <c r="L215" s="19">
        <f>SUM(F215:K215)</f>
        <v>17777595.309999999</v>
      </c>
      <c r="M215" s="8"/>
      <c r="N215" s="266"/>
    </row>
    <row r="216" spans="1:14" s="3" customFormat="1" ht="12.2" customHeight="1" x14ac:dyDescent="0.15">
      <c r="A216" s="1" t="s">
        <v>439</v>
      </c>
      <c r="B216" s="2" t="s">
        <v>346</v>
      </c>
      <c r="C216" s="2" t="s">
        <v>291</v>
      </c>
      <c r="D216" s="2" t="s">
        <v>431</v>
      </c>
      <c r="E216" s="6">
        <v>1200</v>
      </c>
      <c r="F216" s="18">
        <f>3780639.56+200965.52</f>
        <v>3981605.08</v>
      </c>
      <c r="G216" s="18">
        <f>2190157.44+55942.88</f>
        <v>2246100.3199999998</v>
      </c>
      <c r="H216" s="18">
        <f>109865.45+2977310.95+1356.51+50011.38</f>
        <v>3138544.29</v>
      </c>
      <c r="I216" s="18">
        <f>8186.79+1021.41+7239.67</f>
        <v>16447.870000000003</v>
      </c>
      <c r="J216" s="18">
        <f>208.95</f>
        <v>208.95</v>
      </c>
      <c r="K216" s="18">
        <f>136.29</f>
        <v>136.29</v>
      </c>
      <c r="L216" s="19">
        <f>SUM(F216:K216)</f>
        <v>9383042.7999999989</v>
      </c>
      <c r="M216" s="8"/>
      <c r="N216" s="266"/>
    </row>
    <row r="217" spans="1:14" s="3" customFormat="1" ht="12.2" customHeight="1" x14ac:dyDescent="0.15">
      <c r="A217" s="1" t="s">
        <v>440</v>
      </c>
      <c r="B217" s="2" t="s">
        <v>346</v>
      </c>
      <c r="C217" s="2" t="s">
        <v>292</v>
      </c>
      <c r="D217" s="2" t="s">
        <v>431</v>
      </c>
      <c r="E217" s="6">
        <v>1300</v>
      </c>
      <c r="F217" s="18">
        <f>214189.04</f>
        <v>214189.04</v>
      </c>
      <c r="G217" s="18">
        <f>109196.18</f>
        <v>109196.18</v>
      </c>
      <c r="H217" s="18"/>
      <c r="I217" s="18">
        <v>4098.88</v>
      </c>
      <c r="J217" s="18"/>
      <c r="K217" s="18"/>
      <c r="L217" s="19">
        <f>SUM(F217:K217)</f>
        <v>327484.09999999998</v>
      </c>
      <c r="M217" s="8"/>
      <c r="N217" s="266"/>
    </row>
    <row r="218" spans="1:14" s="3" customFormat="1" ht="12.2" customHeight="1" x14ac:dyDescent="0.15">
      <c r="A218" s="1" t="s">
        <v>441</v>
      </c>
      <c r="B218" s="2" t="s">
        <v>346</v>
      </c>
      <c r="C218" s="2" t="s">
        <v>293</v>
      </c>
      <c r="D218" s="2" t="s">
        <v>431</v>
      </c>
      <c r="E218" s="6">
        <v>1400</v>
      </c>
      <c r="F218" s="18">
        <f>190270.94+4512.13</f>
        <v>194783.07</v>
      </c>
      <c r="G218" s="18">
        <f>43028.03+345.19</f>
        <v>43373.22</v>
      </c>
      <c r="H218" s="18">
        <f>17759.2+2073.32</f>
        <v>19832.52</v>
      </c>
      <c r="I218" s="18">
        <f>6556.23+211.5</f>
        <v>6767.73</v>
      </c>
      <c r="J218" s="18">
        <f>526.94</f>
        <v>526.94000000000005</v>
      </c>
      <c r="K218" s="18">
        <f>3058+12079.75</f>
        <v>15137.75</v>
      </c>
      <c r="L218" s="19">
        <f>SUM(F218:K218)</f>
        <v>280421.23</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1315949.17+79283.1</f>
        <v>1395232.27</v>
      </c>
      <c r="G220" s="18">
        <f>631770.6+40258.25</f>
        <v>672028.85</v>
      </c>
      <c r="H220" s="18">
        <f>253042.53+91.2+75828.4</f>
        <v>328962.13</v>
      </c>
      <c r="I220" s="18"/>
      <c r="J220" s="18"/>
      <c r="K220" s="18">
        <v>440295.43</v>
      </c>
      <c r="L220" s="19">
        <f t="shared" ref="L220:L226" si="2">SUM(F220:K220)</f>
        <v>2836518.68</v>
      </c>
      <c r="M220" s="8"/>
      <c r="N220" s="266"/>
    </row>
    <row r="221" spans="1:14" s="3" customFormat="1" ht="12.2" customHeight="1" x14ac:dyDescent="0.15">
      <c r="A221" s="1" t="s">
        <v>443</v>
      </c>
      <c r="B221" s="2" t="s">
        <v>346</v>
      </c>
      <c r="C221" s="2" t="s">
        <v>295</v>
      </c>
      <c r="D221" s="2" t="s">
        <v>431</v>
      </c>
      <c r="E221" s="6">
        <v>2200</v>
      </c>
      <c r="F221" s="18">
        <f>315955.49+12325.57</f>
        <v>328281.06</v>
      </c>
      <c r="G221" s="18">
        <f>134865.67+31716.19+14914.23+4232.14</f>
        <v>185728.23000000004</v>
      </c>
      <c r="H221" s="18">
        <f>3282.33</f>
        <v>3282.33</v>
      </c>
      <c r="I221" s="18">
        <f>201.08+819</f>
        <v>1020.08</v>
      </c>
      <c r="J221" s="18"/>
      <c r="K221" s="18"/>
      <c r="L221" s="19">
        <f t="shared" si="2"/>
        <v>518311.70000000007</v>
      </c>
      <c r="M221" s="8"/>
      <c r="N221" s="266"/>
    </row>
    <row r="222" spans="1:14" s="3" customFormat="1" ht="12.2" customHeight="1" x14ac:dyDescent="0.15">
      <c r="A222" s="1" t="s">
        <v>444</v>
      </c>
      <c r="B222" s="2" t="s">
        <v>346</v>
      </c>
      <c r="C222" s="2" t="s">
        <v>296</v>
      </c>
      <c r="D222" s="2" t="s">
        <v>431</v>
      </c>
      <c r="E222" s="6">
        <v>2300</v>
      </c>
      <c r="F222" s="18">
        <f>226743.39</f>
        <v>226743.39</v>
      </c>
      <c r="G222" s="18">
        <f>119428.67</f>
        <v>119428.67</v>
      </c>
      <c r="H222" s="18">
        <f>53798.46</f>
        <v>53798.46</v>
      </c>
      <c r="I222" s="18">
        <f>709.59</f>
        <v>709.59</v>
      </c>
      <c r="J222" s="18"/>
      <c r="K222" s="18">
        <f>2233.57</f>
        <v>2233.5700000000002</v>
      </c>
      <c r="L222" s="19">
        <f t="shared" si="2"/>
        <v>402913.68000000005</v>
      </c>
      <c r="M222" s="8"/>
      <c r="N222" s="266"/>
    </row>
    <row r="223" spans="1:14" s="3" customFormat="1" ht="12.2" customHeight="1" x14ac:dyDescent="0.15">
      <c r="A223" s="1" t="s">
        <v>445</v>
      </c>
      <c r="B223" s="2" t="s">
        <v>346</v>
      </c>
      <c r="C223" s="2" t="s">
        <v>297</v>
      </c>
      <c r="D223" s="2" t="s">
        <v>431</v>
      </c>
      <c r="E223" s="6">
        <v>2400</v>
      </c>
      <c r="F223" s="18">
        <f>1343972.59</f>
        <v>1343972.59</v>
      </c>
      <c r="G223" s="18">
        <f>720025.86</f>
        <v>720025.86</v>
      </c>
      <c r="H223" s="18">
        <f>359.92+19842.08+150+1205.46</f>
        <v>21557.46</v>
      </c>
      <c r="I223" s="18"/>
      <c r="J223" s="18"/>
      <c r="K223" s="18">
        <v>281.75</v>
      </c>
      <c r="L223" s="19">
        <f t="shared" si="2"/>
        <v>2085837.6600000001</v>
      </c>
      <c r="M223" s="8"/>
      <c r="N223" s="266"/>
    </row>
    <row r="224" spans="1:14" s="3" customFormat="1" ht="12.2" customHeight="1" x14ac:dyDescent="0.15">
      <c r="A224" s="1" t="s">
        <v>446</v>
      </c>
      <c r="B224" s="2" t="s">
        <v>346</v>
      </c>
      <c r="C224" s="2" t="s">
        <v>298</v>
      </c>
      <c r="D224" s="2" t="s">
        <v>431</v>
      </c>
      <c r="E224" s="6">
        <v>2500</v>
      </c>
      <c r="F224" s="18">
        <v>145303.85999999999</v>
      </c>
      <c r="G224" s="18">
        <v>78379.5</v>
      </c>
      <c r="H224" s="18">
        <v>18970.95</v>
      </c>
      <c r="I224" s="18">
        <v>12619.97</v>
      </c>
      <c r="J224" s="18"/>
      <c r="K224" s="18">
        <v>27645.45</v>
      </c>
      <c r="L224" s="19">
        <f t="shared" si="2"/>
        <v>282919.73</v>
      </c>
      <c r="M224" s="8"/>
      <c r="N224" s="266"/>
    </row>
    <row r="225" spans="1:14" s="3" customFormat="1" ht="12.2" customHeight="1" x14ac:dyDescent="0.15">
      <c r="A225" s="1" t="s">
        <v>447</v>
      </c>
      <c r="B225" s="2" t="s">
        <v>346</v>
      </c>
      <c r="C225" s="2" t="s">
        <v>299</v>
      </c>
      <c r="D225" s="2" t="s">
        <v>431</v>
      </c>
      <c r="E225" s="6">
        <v>2600</v>
      </c>
      <c r="F225" s="18"/>
      <c r="G225" s="18"/>
      <c r="H225" s="18">
        <f>16439.93+14263.39+52770+7060.63+1380914.99</f>
        <v>1471448.94</v>
      </c>
      <c r="I225" s="18">
        <f>156349+294071.46+2258.18</f>
        <v>452678.64</v>
      </c>
      <c r="J225" s="18"/>
      <c r="K225" s="18">
        <v>49.35</v>
      </c>
      <c r="L225" s="19">
        <f t="shared" si="2"/>
        <v>1924176.9300000002</v>
      </c>
      <c r="M225" s="8"/>
      <c r="N225" s="266"/>
    </row>
    <row r="226" spans="1:14" s="3" customFormat="1" ht="12.2" customHeight="1" x14ac:dyDescent="0.15">
      <c r="A226" s="1" t="s">
        <v>448</v>
      </c>
      <c r="B226" s="2" t="s">
        <v>346</v>
      </c>
      <c r="C226" s="2" t="s">
        <v>300</v>
      </c>
      <c r="D226" s="2" t="s">
        <v>431</v>
      </c>
      <c r="E226" s="6">
        <v>2700</v>
      </c>
      <c r="F226" s="18">
        <v>17154.02</v>
      </c>
      <c r="G226" s="18">
        <v>10526.08</v>
      </c>
      <c r="H226" s="18">
        <v>2250813.38</v>
      </c>
      <c r="I226" s="18">
        <v>17.05</v>
      </c>
      <c r="J226" s="18"/>
      <c r="K226" s="18"/>
      <c r="L226" s="19">
        <f t="shared" si="2"/>
        <v>2278510.5299999998</v>
      </c>
      <c r="M226" s="8"/>
      <c r="N226" s="266"/>
    </row>
    <row r="227" spans="1:14" s="3" customFormat="1" ht="12.2" customHeight="1" x14ac:dyDescent="0.15">
      <c r="A227" s="1" t="s">
        <v>449</v>
      </c>
      <c r="B227" s="2" t="s">
        <v>346</v>
      </c>
      <c r="C227" s="2" t="s">
        <v>343</v>
      </c>
      <c r="D227" s="2" t="s">
        <v>431</v>
      </c>
      <c r="E227" s="6">
        <v>2800</v>
      </c>
      <c r="F227" s="18">
        <v>162801.60999999999</v>
      </c>
      <c r="G227" s="18">
        <v>77782.649999999994</v>
      </c>
      <c r="H227" s="18">
        <f>4724.5+92523.75</f>
        <v>97248.25</v>
      </c>
      <c r="I227" s="18">
        <f>509+52013.29-19227.05</f>
        <v>33295.240000000005</v>
      </c>
      <c r="J227" s="18">
        <v>434.07</v>
      </c>
      <c r="K227" s="18"/>
      <c r="L227" s="19">
        <f>SUM(F227:K227)</f>
        <v>371561.82</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19893156.459999997</v>
      </c>
      <c r="G229" s="41">
        <f>SUM(G215:G228)</f>
        <v>10028094.109999999</v>
      </c>
      <c r="H229" s="41">
        <f>SUM(H215:H228)</f>
        <v>7447123.2999999998</v>
      </c>
      <c r="I229" s="41">
        <f>SUM(I215:I228)</f>
        <v>613597.75</v>
      </c>
      <c r="J229" s="41">
        <f>SUM(J215:J228)</f>
        <v>1282.96</v>
      </c>
      <c r="K229" s="41">
        <f t="shared" si="3"/>
        <v>486039.58999999997</v>
      </c>
      <c r="L229" s="41">
        <f t="shared" si="3"/>
        <v>38469294.169999994</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14518632.42+73637.17</f>
        <v>14592269.59</v>
      </c>
      <c r="G233" s="18">
        <f>7245340.3-140363.93</f>
        <v>7104976.3700000001</v>
      </c>
      <c r="H233" s="18">
        <f>3815.64+4080+8680+4085.47+4357.7+15400+1547.56+4326.88</f>
        <v>46293.249999999993</v>
      </c>
      <c r="I233" s="18">
        <f>130314+697.9+94441.13+162.54</f>
        <v>225615.57</v>
      </c>
      <c r="J233" s="18">
        <f>19175.25</f>
        <v>19175.25</v>
      </c>
      <c r="K233" s="18">
        <f>10510</f>
        <v>10510</v>
      </c>
      <c r="L233" s="19">
        <f>SUM(F233:K233)</f>
        <v>21998840.030000001</v>
      </c>
      <c r="M233" s="8"/>
      <c r="N233" s="266"/>
    </row>
    <row r="234" spans="1:14" s="3" customFormat="1" ht="12.2" customHeight="1" x14ac:dyDescent="0.15">
      <c r="A234" s="1" t="s">
        <v>439</v>
      </c>
      <c r="B234" s="2" t="s">
        <v>350</v>
      </c>
      <c r="C234" s="2" t="s">
        <v>291</v>
      </c>
      <c r="D234" s="2" t="s">
        <v>431</v>
      </c>
      <c r="E234" s="6">
        <v>1200</v>
      </c>
      <c r="F234" s="18">
        <f>2793506.38+411500.82</f>
        <v>3205007.1999999997</v>
      </c>
      <c r="G234" s="18">
        <f>1657853.35+114549.71</f>
        <v>1772403.06</v>
      </c>
      <c r="H234" s="18">
        <f>603468.39+852.3+571.8+4178594.32+2238.63+102404.25</f>
        <v>4888129.6899999995</v>
      </c>
      <c r="I234" s="18">
        <f>8971.02+76.79+14824.1</f>
        <v>23871.910000000003</v>
      </c>
      <c r="J234" s="18">
        <f>862.87+427.85</f>
        <v>1290.72</v>
      </c>
      <c r="K234" s="18">
        <v>279.07</v>
      </c>
      <c r="L234" s="19">
        <f>SUM(F234:K234)</f>
        <v>9890981.6500000004</v>
      </c>
      <c r="M234" s="8"/>
      <c r="N234" s="266"/>
    </row>
    <row r="235" spans="1:14" s="3" customFormat="1" ht="12.2" customHeight="1" x14ac:dyDescent="0.15">
      <c r="A235" s="1" t="s">
        <v>440</v>
      </c>
      <c r="B235" s="2" t="s">
        <v>350</v>
      </c>
      <c r="C235" s="2" t="s">
        <v>292</v>
      </c>
      <c r="D235" s="2" t="s">
        <v>431</v>
      </c>
      <c r="E235" s="6">
        <v>1300</v>
      </c>
      <c r="F235" s="18">
        <f>1764783.78</f>
        <v>1764783.78</v>
      </c>
      <c r="G235" s="18">
        <f>898101.57</f>
        <v>898101.57</v>
      </c>
      <c r="H235" s="18">
        <f>1354.42</f>
        <v>1354.42</v>
      </c>
      <c r="I235" s="18">
        <v>6987.87</v>
      </c>
      <c r="J235" s="18"/>
      <c r="K235" s="18"/>
      <c r="L235" s="19">
        <f>SUM(F235:K235)</f>
        <v>2671227.64</v>
      </c>
      <c r="M235" s="8"/>
      <c r="N235" s="266"/>
    </row>
    <row r="236" spans="1:14" s="3" customFormat="1" ht="12.2" customHeight="1" x14ac:dyDescent="0.15">
      <c r="A236" s="1" t="s">
        <v>441</v>
      </c>
      <c r="B236" s="2" t="s">
        <v>350</v>
      </c>
      <c r="C236" s="2" t="s">
        <v>293</v>
      </c>
      <c r="D236" s="2" t="s">
        <v>431</v>
      </c>
      <c r="E236" s="6">
        <v>1400</v>
      </c>
      <c r="F236" s="18">
        <f>688601.16+36507.19</f>
        <v>725108.35000000009</v>
      </c>
      <c r="G236" s="18">
        <f>159511.67+2792.89</f>
        <v>162304.56000000003</v>
      </c>
      <c r="H236" s="18">
        <f>800+110540.08+8622.48+9100.92+719+1606.25+16775.05</f>
        <v>148163.77999999997</v>
      </c>
      <c r="I236" s="18">
        <f>62648.53+20729.8+36682.73+1711.23</f>
        <v>121772.29</v>
      </c>
      <c r="J236" s="18">
        <f>23471.18</f>
        <v>23471.18</v>
      </c>
      <c r="K236" s="18">
        <f>38053.9+16000+97736.12+59000</f>
        <v>210790.02</v>
      </c>
      <c r="L236" s="19">
        <f>SUM(F236:K236)</f>
        <v>1391610.1800000002</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1646608.06+162341.59</f>
        <v>1808949.6500000001</v>
      </c>
      <c r="G238" s="18">
        <f>825739.55+82433.57</f>
        <v>908173.12000000011</v>
      </c>
      <c r="H238" s="18">
        <f>329682.05+196.18+155267.67</f>
        <v>485145.9</v>
      </c>
      <c r="I238" s="18">
        <v>79.11</v>
      </c>
      <c r="J238" s="18"/>
      <c r="K238" s="18">
        <v>901557.31</v>
      </c>
      <c r="L238" s="19">
        <f t="shared" ref="L238:L244" si="4">SUM(F238:K238)</f>
        <v>4103905.0900000003</v>
      </c>
      <c r="M238" s="8"/>
      <c r="N238" s="266"/>
    </row>
    <row r="239" spans="1:14" s="3" customFormat="1" ht="12.2" customHeight="1" x14ac:dyDescent="0.15">
      <c r="A239" s="1" t="s">
        <v>443</v>
      </c>
      <c r="B239" s="2" t="s">
        <v>350</v>
      </c>
      <c r="C239" s="2" t="s">
        <v>295</v>
      </c>
      <c r="D239" s="2" t="s">
        <v>431</v>
      </c>
      <c r="E239" s="6">
        <v>2200</v>
      </c>
      <c r="F239" s="18">
        <f>384205.16+25238.07</f>
        <v>409443.23</v>
      </c>
      <c r="G239" s="18">
        <f>184859.13+371.25+39932.96+17044.66+8665.8</f>
        <v>250873.8</v>
      </c>
      <c r="H239" s="18">
        <v>6720.97</v>
      </c>
      <c r="I239" s="18">
        <f>524.49+20763.07+837+1677</f>
        <v>23801.56</v>
      </c>
      <c r="J239" s="18">
        <f>-597.5+599.49</f>
        <v>1.9900000000000091</v>
      </c>
      <c r="K239" s="18"/>
      <c r="L239" s="19">
        <f t="shared" si="4"/>
        <v>690841.55</v>
      </c>
      <c r="M239" s="8"/>
      <c r="N239" s="266"/>
    </row>
    <row r="240" spans="1:14" s="3" customFormat="1" ht="12.2" customHeight="1" x14ac:dyDescent="0.15">
      <c r="A240" s="1" t="s">
        <v>444</v>
      </c>
      <c r="B240" s="2" t="s">
        <v>350</v>
      </c>
      <c r="C240" s="2" t="s">
        <v>296</v>
      </c>
      <c r="D240" s="2" t="s">
        <v>431</v>
      </c>
      <c r="E240" s="6">
        <v>2300</v>
      </c>
      <c r="F240" s="18">
        <v>464284.09</v>
      </c>
      <c r="G240" s="18">
        <v>244544.42</v>
      </c>
      <c r="H240" s="18">
        <f>1630.72+110158.75</f>
        <v>111789.47</v>
      </c>
      <c r="I240" s="18">
        <v>1452.97</v>
      </c>
      <c r="J240" s="18"/>
      <c r="K240" s="18">
        <v>4573.51</v>
      </c>
      <c r="L240" s="19">
        <f t="shared" si="4"/>
        <v>826644.46</v>
      </c>
      <c r="M240" s="8"/>
      <c r="N240" s="266"/>
    </row>
    <row r="241" spans="1:14" s="3" customFormat="1" ht="12.2" customHeight="1" x14ac:dyDescent="0.15">
      <c r="A241" s="1" t="s">
        <v>445</v>
      </c>
      <c r="B241" s="2" t="s">
        <v>350</v>
      </c>
      <c r="C241" s="2" t="s">
        <v>297</v>
      </c>
      <c r="D241" s="2" t="s">
        <v>431</v>
      </c>
      <c r="E241" s="6">
        <v>2400</v>
      </c>
      <c r="F241" s="18">
        <f>2064751.07</f>
        <v>2064751.07</v>
      </c>
      <c r="G241" s="18">
        <f>1061220.37</f>
        <v>1061220.3700000001</v>
      </c>
      <c r="H241" s="18">
        <f>27001.92+2345.6+1998.83+294.57+2468.33</f>
        <v>34109.25</v>
      </c>
      <c r="I241" s="18">
        <f>271</f>
        <v>271</v>
      </c>
      <c r="J241" s="18"/>
      <c r="K241" s="18">
        <f>13035+7987.06</f>
        <v>21022.06</v>
      </c>
      <c r="L241" s="19">
        <f t="shared" si="4"/>
        <v>3181373.7500000005</v>
      </c>
      <c r="M241" s="8"/>
      <c r="N241" s="266"/>
    </row>
    <row r="242" spans="1:14" s="3" customFormat="1" ht="12.2" customHeight="1" x14ac:dyDescent="0.15">
      <c r="A242" s="1" t="s">
        <v>446</v>
      </c>
      <c r="B242" s="2" t="s">
        <v>350</v>
      </c>
      <c r="C242" s="2" t="s">
        <v>298</v>
      </c>
      <c r="D242" s="2" t="s">
        <v>431</v>
      </c>
      <c r="E242" s="6">
        <v>2500</v>
      </c>
      <c r="F242" s="18">
        <v>297526.89</v>
      </c>
      <c r="G242" s="18">
        <v>160491.35</v>
      </c>
      <c r="H242" s="18">
        <v>38845.279999999999</v>
      </c>
      <c r="I242" s="18">
        <v>25840.9</v>
      </c>
      <c r="J242" s="18"/>
      <c r="K242" s="18">
        <v>56607.35</v>
      </c>
      <c r="L242" s="19">
        <f t="shared" si="4"/>
        <v>579311.77</v>
      </c>
      <c r="M242" s="8"/>
      <c r="N242" s="266"/>
    </row>
    <row r="243" spans="1:14" s="3" customFormat="1" ht="12.2" customHeight="1" x14ac:dyDescent="0.15">
      <c r="A243" s="1" t="s">
        <v>447</v>
      </c>
      <c r="B243" s="2" t="s">
        <v>350</v>
      </c>
      <c r="C243" s="2" t="s">
        <v>299</v>
      </c>
      <c r="D243" s="2" t="s">
        <v>431</v>
      </c>
      <c r="E243" s="6">
        <v>2600</v>
      </c>
      <c r="F243" s="18"/>
      <c r="G243" s="18"/>
      <c r="H243" s="18">
        <f>26997.37+28371.94+212767+13916.4+4134956.26+18913</f>
        <v>4435921.97</v>
      </c>
      <c r="I243" s="18">
        <f>301398.39+678728.29+4623.9</f>
        <v>984750.58000000007</v>
      </c>
      <c r="J243" s="18"/>
      <c r="K243" s="18">
        <v>101.05</v>
      </c>
      <c r="L243" s="19">
        <f t="shared" si="4"/>
        <v>5420773.5999999996</v>
      </c>
      <c r="M243" s="8"/>
      <c r="N243" s="266"/>
    </row>
    <row r="244" spans="1:14" s="3" customFormat="1" ht="12.2" customHeight="1" x14ac:dyDescent="0.15">
      <c r="A244" s="1" t="s">
        <v>448</v>
      </c>
      <c r="B244" s="2" t="s">
        <v>350</v>
      </c>
      <c r="C244" s="2" t="s">
        <v>300</v>
      </c>
      <c r="D244" s="2" t="s">
        <v>431</v>
      </c>
      <c r="E244" s="6">
        <v>2700</v>
      </c>
      <c r="F244" s="18">
        <v>9903.9</v>
      </c>
      <c r="G244" s="18">
        <v>6077.25</v>
      </c>
      <c r="H244" s="18">
        <v>1404928.09</v>
      </c>
      <c r="I244" s="18">
        <v>14.7</v>
      </c>
      <c r="J244" s="18"/>
      <c r="K244" s="18"/>
      <c r="L244" s="19">
        <f t="shared" si="4"/>
        <v>1420923.94</v>
      </c>
      <c r="M244" s="8"/>
      <c r="N244" s="266"/>
    </row>
    <row r="245" spans="1:14" s="3" customFormat="1" ht="12.2" customHeight="1" x14ac:dyDescent="0.15">
      <c r="A245" s="1" t="s">
        <v>449</v>
      </c>
      <c r="B245" s="2" t="s">
        <v>350</v>
      </c>
      <c r="C245" s="2" t="s">
        <v>343</v>
      </c>
      <c r="D245" s="2" t="s">
        <v>431</v>
      </c>
      <c r="E245" s="6">
        <v>2800</v>
      </c>
      <c r="F245" s="18">
        <v>333355.68</v>
      </c>
      <c r="G245" s="18">
        <v>159269.23000000001</v>
      </c>
      <c r="H245" s="18">
        <f>4836+189453.39</f>
        <v>194289.39</v>
      </c>
      <c r="I245" s="18">
        <f>56058.04-39369.66</f>
        <v>16688.379999999997</v>
      </c>
      <c r="J245" s="18">
        <v>888.81</v>
      </c>
      <c r="K245" s="18"/>
      <c r="L245" s="19">
        <f>SUM(F245:K245)</f>
        <v>704491.49000000011</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25675383.43</v>
      </c>
      <c r="G247" s="41">
        <f t="shared" si="5"/>
        <v>12728435.1</v>
      </c>
      <c r="H247" s="41">
        <f t="shared" si="5"/>
        <v>11795691.460000001</v>
      </c>
      <c r="I247" s="41">
        <f t="shared" si="5"/>
        <v>1431146.8399999999</v>
      </c>
      <c r="J247" s="41">
        <f t="shared" si="5"/>
        <v>44827.95</v>
      </c>
      <c r="K247" s="41">
        <f t="shared" si="5"/>
        <v>1205440.3700000003</v>
      </c>
      <c r="L247" s="41">
        <f t="shared" si="5"/>
        <v>52880925.150000006</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f>29446.93</f>
        <v>29446.93</v>
      </c>
      <c r="G251" s="18">
        <f>10472.94</f>
        <v>10472.94</v>
      </c>
      <c r="H251" s="18">
        <f>419.14+378+358.82+192</f>
        <v>1347.96</v>
      </c>
      <c r="I251" s="18">
        <f>12815.26</f>
        <v>12815.26</v>
      </c>
      <c r="J251" s="18"/>
      <c r="K251" s="18"/>
      <c r="L251" s="19">
        <f t="shared" si="6"/>
        <v>54083.090000000004</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29446.93</v>
      </c>
      <c r="G256" s="41">
        <f t="shared" si="7"/>
        <v>10472.94</v>
      </c>
      <c r="H256" s="41">
        <f t="shared" si="7"/>
        <v>1347.96</v>
      </c>
      <c r="I256" s="41">
        <f t="shared" si="7"/>
        <v>12815.26</v>
      </c>
      <c r="J256" s="41">
        <f t="shared" si="7"/>
        <v>0</v>
      </c>
      <c r="K256" s="41">
        <f t="shared" si="7"/>
        <v>0</v>
      </c>
      <c r="L256" s="41">
        <f>SUM(F256:K256)</f>
        <v>54083.090000000004</v>
      </c>
      <c r="M256" s="8"/>
      <c r="N256" s="266"/>
    </row>
    <row r="257" spans="1:14" s="3" customFormat="1" ht="12.2" customHeight="1" thickTop="1" x14ac:dyDescent="0.15">
      <c r="A257" s="38" t="s">
        <v>462</v>
      </c>
      <c r="B257" s="40">
        <v>10</v>
      </c>
      <c r="C257" s="40">
        <v>8</v>
      </c>
      <c r="D257" s="39" t="s">
        <v>431</v>
      </c>
      <c r="E257" s="40"/>
      <c r="F257" s="41">
        <f t="shared" ref="F257:L257" si="8">F211+F229+F247+F256</f>
        <v>82611671.960000008</v>
      </c>
      <c r="G257" s="41">
        <f t="shared" si="8"/>
        <v>42006033.289999999</v>
      </c>
      <c r="H257" s="41">
        <f t="shared" si="8"/>
        <v>27128640.800000001</v>
      </c>
      <c r="I257" s="41">
        <f t="shared" si="8"/>
        <v>3174593.05</v>
      </c>
      <c r="J257" s="41">
        <f t="shared" si="8"/>
        <v>74977.759999999995</v>
      </c>
      <c r="K257" s="41">
        <f t="shared" si="8"/>
        <v>2498071.54</v>
      </c>
      <c r="L257" s="41">
        <f t="shared" si="8"/>
        <v>157493988.40000001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8229288.6500000004</v>
      </c>
      <c r="L260" s="19">
        <f>SUM(F260:K260)</f>
        <v>8229288.6500000004</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3989478.72</v>
      </c>
      <c r="L261" s="19">
        <f>SUM(F261:K261)</f>
        <v>3989478.72</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566778</v>
      </c>
      <c r="L266" s="19">
        <f t="shared" si="9"/>
        <v>566778</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1007422.97</v>
      </c>
      <c r="L268" s="19">
        <f t="shared" si="9"/>
        <v>1007422.97</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13792968.340000002</v>
      </c>
      <c r="L270" s="41">
        <f t="shared" si="9"/>
        <v>13792968.340000002</v>
      </c>
      <c r="N270" s="264"/>
    </row>
    <row r="271" spans="1:14" s="3" customFormat="1" ht="12.2" customHeight="1" thickTop="1" x14ac:dyDescent="0.2">
      <c r="A271" s="43" t="s">
        <v>464</v>
      </c>
      <c r="B271" s="40">
        <v>10</v>
      </c>
      <c r="C271" s="40">
        <v>18</v>
      </c>
      <c r="D271" s="39" t="s">
        <v>431</v>
      </c>
      <c r="E271" s="40"/>
      <c r="F271" s="42">
        <f t="shared" ref="F271:L271" si="11">F257+F270</f>
        <v>82611671.960000008</v>
      </c>
      <c r="G271" s="42">
        <f t="shared" si="11"/>
        <v>42006033.289999999</v>
      </c>
      <c r="H271" s="42">
        <f t="shared" si="11"/>
        <v>27128640.800000001</v>
      </c>
      <c r="I271" s="42">
        <f t="shared" si="11"/>
        <v>3174593.05</v>
      </c>
      <c r="J271" s="42">
        <f t="shared" si="11"/>
        <v>74977.759999999995</v>
      </c>
      <c r="K271" s="42">
        <f t="shared" si="11"/>
        <v>16291039.880000003</v>
      </c>
      <c r="L271" s="42">
        <f t="shared" si="11"/>
        <v>171286956.74000001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625561.16</v>
      </c>
      <c r="G276" s="18">
        <v>261799.36</v>
      </c>
      <c r="H276" s="18">
        <v>51359.28</v>
      </c>
      <c r="I276" s="18">
        <v>461700.79</v>
      </c>
      <c r="J276" s="18">
        <v>28697.66</v>
      </c>
      <c r="K276" s="18"/>
      <c r="L276" s="19">
        <f>SUM(F276:K276)</f>
        <v>1429118.25</v>
      </c>
      <c r="M276" s="8"/>
      <c r="N276" s="266"/>
    </row>
    <row r="277" spans="1:14" s="3" customFormat="1" ht="12.2" customHeight="1" x14ac:dyDescent="0.15">
      <c r="A277" s="1" t="s">
        <v>439</v>
      </c>
      <c r="B277" s="2" t="s">
        <v>357</v>
      </c>
      <c r="C277" s="2" t="s">
        <v>291</v>
      </c>
      <c r="D277" s="2" t="s">
        <v>431</v>
      </c>
      <c r="E277" s="6">
        <v>1200</v>
      </c>
      <c r="F277" s="18">
        <v>4778892.2699999996</v>
      </c>
      <c r="G277" s="18">
        <v>2382754.66</v>
      </c>
      <c r="H277" s="18">
        <v>912636.47</v>
      </c>
      <c r="I277" s="18">
        <v>491217.22</v>
      </c>
      <c r="J277" s="18">
        <v>158831.48000000001</v>
      </c>
      <c r="K277" s="18"/>
      <c r="L277" s="19">
        <f>SUM(F277:K277)</f>
        <v>8724332.0999999996</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569144.22</v>
      </c>
      <c r="G279" s="18">
        <v>154603.41</v>
      </c>
      <c r="H279" s="18">
        <v>190622.88</v>
      </c>
      <c r="I279" s="18">
        <v>20276.55</v>
      </c>
      <c r="J279" s="18">
        <v>469.9</v>
      </c>
      <c r="K279" s="18"/>
      <c r="L279" s="19">
        <f>SUM(F279:K279)</f>
        <v>935116.96000000008</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157649.79999999999</v>
      </c>
      <c r="G281" s="18">
        <v>87294.5</v>
      </c>
      <c r="H281" s="18"/>
      <c r="I281" s="18"/>
      <c r="J281" s="18"/>
      <c r="K281" s="18"/>
      <c r="L281" s="19">
        <f t="shared" ref="L281:L287" si="12">SUM(F281:K281)</f>
        <v>244944.3</v>
      </c>
      <c r="M281" s="8"/>
      <c r="N281" s="266"/>
    </row>
    <row r="282" spans="1:14" s="3" customFormat="1" ht="12.2" customHeight="1" x14ac:dyDescent="0.15">
      <c r="A282" s="1" t="s">
        <v>443</v>
      </c>
      <c r="B282" s="2" t="s">
        <v>357</v>
      </c>
      <c r="C282" s="2" t="s">
        <v>295</v>
      </c>
      <c r="D282" s="2" t="s">
        <v>431</v>
      </c>
      <c r="E282" s="6">
        <v>2200</v>
      </c>
      <c r="F282" s="18"/>
      <c r="G282" s="18">
        <v>923.6</v>
      </c>
      <c r="H282" s="18">
        <v>23669.279999999999</v>
      </c>
      <c r="I282" s="18">
        <v>1615.5</v>
      </c>
      <c r="J282" s="18"/>
      <c r="K282" s="18"/>
      <c r="L282" s="19">
        <f t="shared" si="12"/>
        <v>26208.379999999997</v>
      </c>
      <c r="M282" s="8"/>
      <c r="N282" s="266"/>
    </row>
    <row r="283" spans="1:14" s="3" customFormat="1" ht="12.2" customHeight="1" x14ac:dyDescent="0.15">
      <c r="A283" s="1" t="s">
        <v>444</v>
      </c>
      <c r="B283" s="2" t="s">
        <v>357</v>
      </c>
      <c r="C283" s="2" t="s">
        <v>296</v>
      </c>
      <c r="D283" s="2" t="s">
        <v>431</v>
      </c>
      <c r="E283" s="6">
        <v>2300</v>
      </c>
      <c r="F283" s="18">
        <v>238054.57</v>
      </c>
      <c r="G283" s="18">
        <v>104031.91</v>
      </c>
      <c r="H283" s="18">
        <v>15865.31</v>
      </c>
      <c r="I283" s="18"/>
      <c r="J283" s="18">
        <v>553.59</v>
      </c>
      <c r="K283" s="18"/>
      <c r="L283" s="19">
        <f t="shared" si="12"/>
        <v>358505.38</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v>9950</v>
      </c>
      <c r="K286" s="18"/>
      <c r="L286" s="19">
        <f t="shared" si="12"/>
        <v>9950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v>21763.78</v>
      </c>
      <c r="K288" s="18"/>
      <c r="L288" s="19">
        <f>SUM(F288:K288)</f>
        <v>21763.78</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6369302.0199999996</v>
      </c>
      <c r="G290" s="42">
        <f t="shared" si="13"/>
        <v>2991407.4400000004</v>
      </c>
      <c r="H290" s="42">
        <f t="shared" si="13"/>
        <v>1194153.22</v>
      </c>
      <c r="I290" s="42">
        <f t="shared" si="13"/>
        <v>974810.06</v>
      </c>
      <c r="J290" s="42">
        <f t="shared" si="13"/>
        <v>220266.41</v>
      </c>
      <c r="K290" s="42">
        <f t="shared" si="13"/>
        <v>0</v>
      </c>
      <c r="L290" s="41">
        <f t="shared" si="13"/>
        <v>11749939.150000002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57548.01</v>
      </c>
      <c r="G295" s="18">
        <v>41423.300000000003</v>
      </c>
      <c r="H295" s="18">
        <v>25284.03</v>
      </c>
      <c r="I295" s="18">
        <v>2956.58</v>
      </c>
      <c r="J295" s="18">
        <v>13644.01</v>
      </c>
      <c r="K295" s="18"/>
      <c r="L295" s="19">
        <f>SUM(F295:K295)</f>
        <v>140855.93</v>
      </c>
      <c r="M295" s="8"/>
      <c r="N295" s="266"/>
    </row>
    <row r="296" spans="1:14" s="3" customFormat="1" ht="12.2" customHeight="1" x14ac:dyDescent="0.15">
      <c r="A296" s="1" t="s">
        <v>439</v>
      </c>
      <c r="B296" s="2" t="s">
        <v>358</v>
      </c>
      <c r="C296" s="2" t="s">
        <v>291</v>
      </c>
      <c r="D296" s="2" t="s">
        <v>431</v>
      </c>
      <c r="E296" s="6">
        <v>1200</v>
      </c>
      <c r="F296" s="18">
        <v>1352045.63</v>
      </c>
      <c r="G296" s="18">
        <v>811672.77</v>
      </c>
      <c r="H296" s="18">
        <v>68885.09</v>
      </c>
      <c r="I296" s="18">
        <v>29733.241000000002</v>
      </c>
      <c r="J296" s="18">
        <v>1630.33</v>
      </c>
      <c r="K296" s="18"/>
      <c r="L296" s="19">
        <f>SUM(F296:K296)</f>
        <v>2263967.0609999998</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v>253904.43</v>
      </c>
      <c r="G298" s="18">
        <v>75376.66</v>
      </c>
      <c r="H298" s="18">
        <v>100057.15</v>
      </c>
      <c r="I298" s="18">
        <v>4209.84</v>
      </c>
      <c r="J298" s="18">
        <v>17492.169999999998</v>
      </c>
      <c r="K298" s="18"/>
      <c r="L298" s="19">
        <f>SUM(F298:K298)</f>
        <v>451040.25</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186.52</v>
      </c>
      <c r="G300" s="18"/>
      <c r="H300" s="18"/>
      <c r="I300" s="18"/>
      <c r="J300" s="18"/>
      <c r="K300" s="18"/>
      <c r="L300" s="19">
        <f t="shared" ref="L300:L306" si="14">SUM(F300:K300)</f>
        <v>186.52</v>
      </c>
      <c r="M300" s="8"/>
      <c r="N300" s="266"/>
    </row>
    <row r="301" spans="1:14" s="3" customFormat="1" ht="12.2" customHeight="1" x14ac:dyDescent="0.15">
      <c r="A301" s="1" t="s">
        <v>443</v>
      </c>
      <c r="B301" s="2" t="s">
        <v>358</v>
      </c>
      <c r="C301" s="2" t="s">
        <v>295</v>
      </c>
      <c r="D301" s="2" t="s">
        <v>431</v>
      </c>
      <c r="E301" s="6">
        <v>2200</v>
      </c>
      <c r="F301" s="18"/>
      <c r="G301" s="18"/>
      <c r="H301" s="18">
        <v>525</v>
      </c>
      <c r="I301" s="18">
        <v>942.38</v>
      </c>
      <c r="J301" s="18"/>
      <c r="K301" s="18"/>
      <c r="L301" s="19">
        <f t="shared" si="14"/>
        <v>1467.38</v>
      </c>
      <c r="M301" s="8"/>
      <c r="N301" s="266"/>
    </row>
    <row r="302" spans="1:14" s="3" customFormat="1" ht="12.2" customHeight="1" x14ac:dyDescent="0.15">
      <c r="A302" s="1" t="s">
        <v>444</v>
      </c>
      <c r="B302" s="2" t="s">
        <v>358</v>
      </c>
      <c r="C302" s="2" t="s">
        <v>296</v>
      </c>
      <c r="D302" s="2" t="s">
        <v>431</v>
      </c>
      <c r="E302" s="6">
        <v>2300</v>
      </c>
      <c r="F302" s="18">
        <v>35161.660000000003</v>
      </c>
      <c r="G302" s="18">
        <v>17320.419999999998</v>
      </c>
      <c r="H302" s="18">
        <v>6697.45</v>
      </c>
      <c r="I302" s="18"/>
      <c r="J302" s="18">
        <v>12.08</v>
      </c>
      <c r="K302" s="18"/>
      <c r="L302" s="19">
        <f t="shared" si="14"/>
        <v>59191.61</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1698846.2499999998</v>
      </c>
      <c r="G309" s="42">
        <f t="shared" si="15"/>
        <v>945793.15000000014</v>
      </c>
      <c r="H309" s="42">
        <f t="shared" si="15"/>
        <v>201448.72</v>
      </c>
      <c r="I309" s="42">
        <f t="shared" si="15"/>
        <v>37842.041000000005</v>
      </c>
      <c r="J309" s="42">
        <f t="shared" si="15"/>
        <v>32778.589999999997</v>
      </c>
      <c r="K309" s="42">
        <f t="shared" si="15"/>
        <v>0</v>
      </c>
      <c r="L309" s="41">
        <f t="shared" si="15"/>
        <v>2916708.7509999997</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73010.039999999994</v>
      </c>
      <c r="G314" s="18">
        <v>12497.99</v>
      </c>
      <c r="H314" s="18">
        <v>141909.74</v>
      </c>
      <c r="I314" s="18">
        <v>20690.03</v>
      </c>
      <c r="J314" s="18">
        <v>53517.54</v>
      </c>
      <c r="K314" s="18">
        <v>81497.61</v>
      </c>
      <c r="L314" s="19">
        <f>SUM(F314:K314)</f>
        <v>383122.94999999995</v>
      </c>
      <c r="M314" s="8"/>
      <c r="N314" s="266"/>
    </row>
    <row r="315" spans="1:14" s="3" customFormat="1" ht="12.2" customHeight="1" x14ac:dyDescent="0.15">
      <c r="A315" s="1" t="s">
        <v>439</v>
      </c>
      <c r="B315" s="2" t="s">
        <v>359</v>
      </c>
      <c r="C315" s="2" t="s">
        <v>291</v>
      </c>
      <c r="D315" s="2" t="s">
        <v>431</v>
      </c>
      <c r="E315" s="6">
        <v>1200</v>
      </c>
      <c r="F315" s="18">
        <v>1345565.24</v>
      </c>
      <c r="G315" s="18">
        <v>835018.77</v>
      </c>
      <c r="H315" s="18">
        <v>46464.84</v>
      </c>
      <c r="I315" s="18">
        <v>31651.85</v>
      </c>
      <c r="J315" s="18">
        <v>9592.76</v>
      </c>
      <c r="K315" s="18"/>
      <c r="L315" s="19">
        <f>SUM(F315:K315)</f>
        <v>2268293.4599999995</v>
      </c>
      <c r="M315" s="8"/>
      <c r="N315" s="266"/>
    </row>
    <row r="316" spans="1:14" s="3" customFormat="1" ht="12.2" customHeight="1" x14ac:dyDescent="0.15">
      <c r="A316" s="1" t="s">
        <v>440</v>
      </c>
      <c r="B316" s="2" t="s">
        <v>359</v>
      </c>
      <c r="C316" s="2" t="s">
        <v>292</v>
      </c>
      <c r="D316" s="2" t="s">
        <v>431</v>
      </c>
      <c r="E316" s="6">
        <v>1300</v>
      </c>
      <c r="F316" s="18">
        <v>53448.28</v>
      </c>
      <c r="G316" s="18">
        <v>9251.4500000000007</v>
      </c>
      <c r="H316" s="18">
        <v>74686.53</v>
      </c>
      <c r="I316" s="18">
        <v>116935.53</v>
      </c>
      <c r="J316" s="18">
        <v>177451.93</v>
      </c>
      <c r="K316" s="18">
        <v>2694</v>
      </c>
      <c r="L316" s="19">
        <f>SUM(F316:K316)</f>
        <v>434467.72</v>
      </c>
      <c r="M316" s="8"/>
      <c r="N316" s="266"/>
    </row>
    <row r="317" spans="1:14" s="3" customFormat="1" ht="12.2" customHeight="1" x14ac:dyDescent="0.15">
      <c r="A317" s="1" t="s">
        <v>441</v>
      </c>
      <c r="B317" s="2" t="s">
        <v>359</v>
      </c>
      <c r="C317" s="2" t="s">
        <v>293</v>
      </c>
      <c r="D317" s="2" t="s">
        <v>431</v>
      </c>
      <c r="E317" s="6">
        <v>1400</v>
      </c>
      <c r="F317" s="18">
        <v>25413.87</v>
      </c>
      <c r="G317" s="18">
        <v>11525.46</v>
      </c>
      <c r="H317" s="18">
        <v>45933.760000000002</v>
      </c>
      <c r="I317" s="18">
        <v>3268.79</v>
      </c>
      <c r="J317" s="18">
        <v>25813.23</v>
      </c>
      <c r="K317" s="18"/>
      <c r="L317" s="19">
        <f>SUM(F317:K317)</f>
        <v>111955.10999999999</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34240.44</v>
      </c>
      <c r="G319" s="18">
        <v>9586.73</v>
      </c>
      <c r="H319" s="18">
        <v>9906.58</v>
      </c>
      <c r="I319" s="18">
        <v>4692.33</v>
      </c>
      <c r="J319" s="18"/>
      <c r="K319" s="18"/>
      <c r="L319" s="19">
        <f t="shared" ref="L319:L325" si="16">SUM(F319:K319)</f>
        <v>58426.080000000002</v>
      </c>
      <c r="M319" s="8"/>
      <c r="N319" s="266"/>
    </row>
    <row r="320" spans="1:14" s="3" customFormat="1" ht="12.2" customHeight="1" x14ac:dyDescent="0.15">
      <c r="A320" s="1" t="s">
        <v>443</v>
      </c>
      <c r="B320" s="2" t="s">
        <v>359</v>
      </c>
      <c r="C320" s="2" t="s">
        <v>295</v>
      </c>
      <c r="D320" s="2" t="s">
        <v>431</v>
      </c>
      <c r="E320" s="6">
        <v>2200</v>
      </c>
      <c r="F320" s="18">
        <v>65674.179999999993</v>
      </c>
      <c r="G320" s="18">
        <v>38761.410000000003</v>
      </c>
      <c r="H320" s="18">
        <v>22318.63</v>
      </c>
      <c r="I320" s="18">
        <v>2013.03</v>
      </c>
      <c r="J320" s="18">
        <v>19925</v>
      </c>
      <c r="K320" s="18">
        <v>22711</v>
      </c>
      <c r="L320" s="19">
        <f t="shared" si="16"/>
        <v>171403.25</v>
      </c>
      <c r="M320" s="8"/>
      <c r="N320" s="266"/>
    </row>
    <row r="321" spans="1:14" s="3" customFormat="1" ht="12.2" customHeight="1" x14ac:dyDescent="0.15">
      <c r="A321" s="1" t="s">
        <v>444</v>
      </c>
      <c r="B321" s="2" t="s">
        <v>359</v>
      </c>
      <c r="C321" s="2" t="s">
        <v>296</v>
      </c>
      <c r="D321" s="2" t="s">
        <v>431</v>
      </c>
      <c r="E321" s="6">
        <v>2300</v>
      </c>
      <c r="F321" s="18">
        <v>9843.15</v>
      </c>
      <c r="G321" s="18">
        <v>4666.91</v>
      </c>
      <c r="H321" s="18">
        <v>13708.23</v>
      </c>
      <c r="I321" s="18"/>
      <c r="J321" s="18">
        <v>4.32</v>
      </c>
      <c r="K321" s="18"/>
      <c r="L321" s="19">
        <f t="shared" si="16"/>
        <v>28222.61</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v>105513.5</v>
      </c>
      <c r="K324" s="18"/>
      <c r="L324" s="19">
        <f t="shared" si="16"/>
        <v>105513.5</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1607195.2</v>
      </c>
      <c r="G328" s="42">
        <f t="shared" si="17"/>
        <v>921308.72</v>
      </c>
      <c r="H328" s="42">
        <f t="shared" si="17"/>
        <v>354928.31</v>
      </c>
      <c r="I328" s="42">
        <f t="shared" si="17"/>
        <v>179251.56</v>
      </c>
      <c r="J328" s="42">
        <f t="shared" si="17"/>
        <v>391818.27999999997</v>
      </c>
      <c r="K328" s="42">
        <f t="shared" si="17"/>
        <v>106902.61</v>
      </c>
      <c r="L328" s="41">
        <f t="shared" si="17"/>
        <v>3561404.6799999988</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f>25729.13-1832-58.29</f>
        <v>23838.84</v>
      </c>
      <c r="I332" s="18">
        <v>58.29</v>
      </c>
      <c r="J332" s="18">
        <v>1832</v>
      </c>
      <c r="K332" s="18"/>
      <c r="L332" s="19">
        <f t="shared" ref="L332:L337" si="18">SUM(F332:K332)</f>
        <v>25729.13</v>
      </c>
      <c r="M332" s="8"/>
      <c r="N332" s="266"/>
    </row>
    <row r="333" spans="1:14" s="3" customFormat="1" ht="12.2" customHeight="1" x14ac:dyDescent="0.15">
      <c r="A333" s="1" t="s">
        <v>353</v>
      </c>
      <c r="B333" s="6">
        <v>14</v>
      </c>
      <c r="C333" s="2" t="s">
        <v>309</v>
      </c>
      <c r="D333" s="2" t="s">
        <v>431</v>
      </c>
      <c r="E333" s="6">
        <v>1600</v>
      </c>
      <c r="F333" s="18">
        <f>118606.43+55748.37</f>
        <v>174354.8</v>
      </c>
      <c r="G333" s="18">
        <f>10994.54+17123.41</f>
        <v>28117.95</v>
      </c>
      <c r="H333" s="18">
        <f>17160.27+4371.94</f>
        <v>21532.21</v>
      </c>
      <c r="I333" s="18">
        <f>57566.67+3713.1</f>
        <v>61279.77</v>
      </c>
      <c r="J333" s="18">
        <v>3975.16</v>
      </c>
      <c r="K333" s="18"/>
      <c r="L333" s="19">
        <f t="shared" si="18"/>
        <v>289259.88999999996</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174354.8</v>
      </c>
      <c r="G337" s="41">
        <f t="shared" si="19"/>
        <v>28117.95</v>
      </c>
      <c r="H337" s="41">
        <f t="shared" si="19"/>
        <v>45371.05</v>
      </c>
      <c r="I337" s="41">
        <f t="shared" si="19"/>
        <v>61338.06</v>
      </c>
      <c r="J337" s="41">
        <f t="shared" si="19"/>
        <v>5807.16</v>
      </c>
      <c r="K337" s="41">
        <f t="shared" si="19"/>
        <v>0</v>
      </c>
      <c r="L337" s="41">
        <f t="shared" si="18"/>
        <v>314989.01999999996</v>
      </c>
      <c r="M337" s="8"/>
      <c r="N337" s="266"/>
    </row>
    <row r="338" spans="1:43" s="3" customFormat="1" ht="12.2" customHeight="1" thickTop="1" x14ac:dyDescent="0.15">
      <c r="A338" s="38" t="s">
        <v>468</v>
      </c>
      <c r="B338" s="40">
        <v>14</v>
      </c>
      <c r="C338" s="40">
        <v>7</v>
      </c>
      <c r="D338" s="39" t="s">
        <v>431</v>
      </c>
      <c r="E338" s="40"/>
      <c r="F338" s="41">
        <f t="shared" ref="F338:L338" si="20">F290+F309+F328+F337</f>
        <v>9849698.2699999996</v>
      </c>
      <c r="G338" s="41">
        <f t="shared" si="20"/>
        <v>4886627.2600000007</v>
      </c>
      <c r="H338" s="41">
        <f t="shared" si="20"/>
        <v>1795901.3</v>
      </c>
      <c r="I338" s="41">
        <f t="shared" si="20"/>
        <v>1253241.7210000001</v>
      </c>
      <c r="J338" s="41">
        <f t="shared" si="20"/>
        <v>650670.44000000006</v>
      </c>
      <c r="K338" s="41">
        <f t="shared" si="20"/>
        <v>106902.61</v>
      </c>
      <c r="L338" s="41">
        <f t="shared" si="20"/>
        <v>18543041.601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161635.85999999999</v>
      </c>
      <c r="L344" s="19">
        <f t="shared" ref="L344:L350" si="21">SUM(F344:K344)</f>
        <v>161635.85999999999</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161635.85999999999</v>
      </c>
      <c r="L351" s="41">
        <f>SUM(L341:L350)</f>
        <v>161635.85999999999</v>
      </c>
      <c r="M351" s="8"/>
      <c r="N351" s="266"/>
    </row>
    <row r="352" spans="1:43" s="12" customFormat="1" ht="12.2" customHeight="1" thickTop="1" thickBot="1" x14ac:dyDescent="0.25">
      <c r="A352" s="38" t="s">
        <v>469</v>
      </c>
      <c r="B352" s="40">
        <v>14</v>
      </c>
      <c r="C352" s="40">
        <v>17</v>
      </c>
      <c r="D352" s="39" t="s">
        <v>431</v>
      </c>
      <c r="E352" s="40"/>
      <c r="F352" s="41">
        <f>F338</f>
        <v>9849698.2699999996</v>
      </c>
      <c r="G352" s="41">
        <f>G338</f>
        <v>4886627.2600000007</v>
      </c>
      <c r="H352" s="41">
        <f>H338</f>
        <v>1795901.3</v>
      </c>
      <c r="I352" s="41">
        <f>I338</f>
        <v>1253241.7210000001</v>
      </c>
      <c r="J352" s="41">
        <f>J338</f>
        <v>650670.44000000006</v>
      </c>
      <c r="K352" s="47">
        <f>K338+K351</f>
        <v>268538.46999999997</v>
      </c>
      <c r="L352" s="41">
        <f>L338+L351</f>
        <v>18704677.460999999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f>157205.07-0.01+603674.84</f>
        <v>760879.89999999991</v>
      </c>
      <c r="G358" s="18">
        <f>105384.9+349850.16</f>
        <v>455235.05999999994</v>
      </c>
      <c r="H358" s="18">
        <f>14916.56+10781.6+28591.76+3097.17+391.36+3673.61+472+296523.3+7187.41+13293.75+133.4</f>
        <v>379061.92</v>
      </c>
      <c r="I358" s="18">
        <f>121834.14+3434.45+175634.79+291822.48+8333.33+8333.33-0.01</f>
        <v>609392.50999999989</v>
      </c>
      <c r="J358" s="18">
        <f>8911.67+1038</f>
        <v>9949.67</v>
      </c>
      <c r="K358" s="18">
        <v>16666.669999999998</v>
      </c>
      <c r="L358" s="13">
        <f>SUM(F358:K358)</f>
        <v>2231185.7299999995</v>
      </c>
      <c r="N358" s="264"/>
      <c r="R358" s="3"/>
      <c r="S358" s="3"/>
      <c r="T358" s="3"/>
      <c r="U358" s="3"/>
      <c r="V358" s="3"/>
    </row>
    <row r="359" spans="1:22" s="3" customFormat="1" ht="12.2" customHeight="1" x14ac:dyDescent="0.15">
      <c r="A359" s="1" t="s">
        <v>542</v>
      </c>
      <c r="B359" s="2" t="s">
        <v>366</v>
      </c>
      <c r="C359" s="6">
        <v>2</v>
      </c>
      <c r="D359" s="2" t="s">
        <v>431</v>
      </c>
      <c r="E359" s="6"/>
      <c r="F359" s="18">
        <f>77301.1+536677.64</f>
        <v>613978.74</v>
      </c>
      <c r="G359" s="18">
        <f>51820.01+239605.45</f>
        <v>291425.46000000002</v>
      </c>
      <c r="H359" s="18">
        <f>7334.79+5301.54+14059.18+1522.94+192.44+1806.39+232.09+17611.67+19487.41+4830</f>
        <v>72378.45</v>
      </c>
      <c r="I359" s="18">
        <f>59908.46+1688.79+86363.39+412018.97+8333.33+8333.33</f>
        <v>576646.2699999999</v>
      </c>
      <c r="J359" s="18">
        <f>4382.06+5756</f>
        <v>10138.060000000001</v>
      </c>
      <c r="K359" s="18">
        <v>16666.669999999998</v>
      </c>
      <c r="L359" s="19">
        <f>SUM(F359:K359)</f>
        <v>1581233.65</v>
      </c>
      <c r="M359" s="8"/>
      <c r="N359" s="266"/>
    </row>
    <row r="360" spans="1:22" s="3" customFormat="1" ht="12.2" customHeight="1" x14ac:dyDescent="0.15">
      <c r="A360" s="3" t="s">
        <v>543</v>
      </c>
      <c r="B360" s="2" t="s">
        <v>366</v>
      </c>
      <c r="C360" s="6">
        <v>3</v>
      </c>
      <c r="D360" s="2" t="s">
        <v>431</v>
      </c>
      <c r="E360" s="6"/>
      <c r="F360" s="18">
        <f>60640.17+0.01+549165.14</f>
        <v>609805.32000000007</v>
      </c>
      <c r="G360" s="18">
        <f>40651.1+364622.42</f>
        <v>405273.51999999996</v>
      </c>
      <c r="H360" s="18">
        <f>5753.9+4158.89+11028.96+1194.7+150.96+1417.05+182.07+18156.66+3809.67+3675</f>
        <v>49527.86</v>
      </c>
      <c r="I360" s="18">
        <f>46996.21+1324.8+67749.24+817526.57+8333.34+8333.34</f>
        <v>950263.49999999988</v>
      </c>
      <c r="J360" s="18">
        <f>3437.58+515</f>
        <v>3952.58</v>
      </c>
      <c r="K360" s="18">
        <v>16666.669999999998</v>
      </c>
      <c r="L360" s="19">
        <f>SUM(F360:K360)</f>
        <v>2035489.4500000002</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1984663.96</v>
      </c>
      <c r="G362" s="47">
        <f t="shared" si="22"/>
        <v>1151934.04</v>
      </c>
      <c r="H362" s="47">
        <f t="shared" si="22"/>
        <v>500968.23</v>
      </c>
      <c r="I362" s="47">
        <f t="shared" si="22"/>
        <v>2136302.2799999998</v>
      </c>
      <c r="J362" s="47">
        <f t="shared" si="22"/>
        <v>24040.310000000005</v>
      </c>
      <c r="K362" s="47">
        <f t="shared" si="22"/>
        <v>50000.009999999995</v>
      </c>
      <c r="L362" s="47">
        <f t="shared" si="22"/>
        <v>5847908.8300000001</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518818.35</f>
        <v>518818.35</v>
      </c>
      <c r="G367" s="18">
        <v>521851.72</v>
      </c>
      <c r="H367" s="18">
        <v>895894.6</v>
      </c>
      <c r="I367" s="56">
        <f>SUM(F367:H367)</f>
        <v>1936564.67</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90574.17</v>
      </c>
      <c r="G368" s="63">
        <v>54794.55</v>
      </c>
      <c r="H368" s="63">
        <v>54368.89</v>
      </c>
      <c r="I368" s="56">
        <f>SUM(F368:H368)</f>
        <v>199737.61</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609392.52</v>
      </c>
      <c r="G369" s="47">
        <f>SUM(G367:G368)</f>
        <v>576646.27</v>
      </c>
      <c r="H369" s="47">
        <f>SUM(H367:H368)</f>
        <v>950263.49</v>
      </c>
      <c r="I369" s="47">
        <f>SUM(I367:I368)</f>
        <v>2136302.2799999998</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v>503451</v>
      </c>
      <c r="H395" s="18">
        <v>45187</v>
      </c>
      <c r="I395" s="18"/>
      <c r="J395" s="24" t="s">
        <v>288</v>
      </c>
      <c r="K395" s="24" t="s">
        <v>288</v>
      </c>
      <c r="L395" s="56">
        <f t="shared" ref="L395:L400" si="26">SUM(F395:K395)</f>
        <v>548638</v>
      </c>
      <c r="M395" s="8"/>
      <c r="N395" s="266"/>
    </row>
    <row r="396" spans="1:14" s="3" customFormat="1" ht="12.2" customHeight="1" x14ac:dyDescent="0.15">
      <c r="A396" s="79" t="s">
        <v>557</v>
      </c>
      <c r="B396" s="2" t="s">
        <v>381</v>
      </c>
      <c r="C396" s="6">
        <v>9</v>
      </c>
      <c r="D396" s="2" t="s">
        <v>432</v>
      </c>
      <c r="E396" s="6"/>
      <c r="F396" s="18"/>
      <c r="G396" s="18">
        <v>59825</v>
      </c>
      <c r="H396" s="18">
        <v>6596</v>
      </c>
      <c r="I396" s="18"/>
      <c r="J396" s="24" t="s">
        <v>288</v>
      </c>
      <c r="K396" s="24" t="s">
        <v>288</v>
      </c>
      <c r="L396" s="56">
        <f t="shared" si="26"/>
        <v>66421</v>
      </c>
      <c r="M396" s="8"/>
      <c r="N396" s="266"/>
    </row>
    <row r="397" spans="1:14" s="3" customFormat="1" ht="12.2" customHeight="1" x14ac:dyDescent="0.15">
      <c r="A397" s="79" t="s">
        <v>515</v>
      </c>
      <c r="B397" s="2" t="s">
        <v>381</v>
      </c>
      <c r="C397" s="6">
        <v>10</v>
      </c>
      <c r="D397" s="2" t="s">
        <v>432</v>
      </c>
      <c r="E397" s="6"/>
      <c r="F397" s="18"/>
      <c r="G397" s="18"/>
      <c r="H397" s="18">
        <v>7197</v>
      </c>
      <c r="I397" s="18"/>
      <c r="J397" s="24" t="s">
        <v>288</v>
      </c>
      <c r="K397" s="24" t="s">
        <v>288</v>
      </c>
      <c r="L397" s="56">
        <f t="shared" si="26"/>
        <v>7197</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v>3502</v>
      </c>
      <c r="H400" s="18">
        <v>1160</v>
      </c>
      <c r="I400" s="18"/>
      <c r="J400" s="24" t="s">
        <v>288</v>
      </c>
      <c r="K400" s="24" t="s">
        <v>288</v>
      </c>
      <c r="L400" s="56">
        <f t="shared" si="26"/>
        <v>4662</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566778</v>
      </c>
      <c r="H401" s="47">
        <f>SUM(H395:H400)</f>
        <v>60140</v>
      </c>
      <c r="I401" s="47">
        <f>SUM(I395:I400)</f>
        <v>0</v>
      </c>
      <c r="J401" s="45" t="s">
        <v>288</v>
      </c>
      <c r="K401" s="45" t="s">
        <v>288</v>
      </c>
      <c r="L401" s="47">
        <f>SUM(L395:L400)</f>
        <v>626918</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566778</v>
      </c>
      <c r="H408" s="47">
        <f>H393+H401+H407</f>
        <v>60140</v>
      </c>
      <c r="I408" s="47">
        <f>I393+I401+I407</f>
        <v>0</v>
      </c>
      <c r="J408" s="24" t="s">
        <v>288</v>
      </c>
      <c r="K408" s="24" t="s">
        <v>288</v>
      </c>
      <c r="L408" s="47">
        <f>L393+L401+L407</f>
        <v>626918</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v>566777.57999999996</v>
      </c>
      <c r="H441" s="18"/>
      <c r="I441" s="56">
        <f t="shared" si="33"/>
        <v>566777.57999999996</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v>994055.96</v>
      </c>
      <c r="H442" s="18"/>
      <c r="I442" s="56">
        <f t="shared" si="33"/>
        <v>994055.96</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1560833.54</v>
      </c>
      <c r="H446" s="13">
        <f>SUM(H439:H445)</f>
        <v>0</v>
      </c>
      <c r="I446" s="13">
        <f>SUM(I439:I445)</f>
        <v>1560833.54</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1560833.54</v>
      </c>
      <c r="H459" s="18"/>
      <c r="I459" s="56">
        <f t="shared" si="34"/>
        <v>1560833.54</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1560833.54</v>
      </c>
      <c r="H460" s="83">
        <f>SUM(H454:H459)</f>
        <v>0</v>
      </c>
      <c r="I460" s="83">
        <f>SUM(I454:I459)</f>
        <v>1560833.54</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1560833.54</v>
      </c>
      <c r="H461" s="42">
        <f>H452+H460</f>
        <v>0</v>
      </c>
      <c r="I461" s="42">
        <f>I452+I460</f>
        <v>1560833.54</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474102.9</v>
      </c>
      <c r="G465" s="18">
        <v>583854.85</v>
      </c>
      <c r="H465" s="18">
        <v>1094304.43</v>
      </c>
      <c r="I465" s="18"/>
      <c r="J465" s="18">
        <v>933915.54</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171142902.52000001</v>
      </c>
      <c r="G468" s="18">
        <v>5699680.3300000001</v>
      </c>
      <c r="H468" s="18">
        <v>18228770.199999999</v>
      </c>
      <c r="I468" s="18"/>
      <c r="J468" s="18">
        <v>626918</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171142902.52000001</v>
      </c>
      <c r="G470" s="53">
        <f>SUM(G468:G469)</f>
        <v>5699680.3300000001</v>
      </c>
      <c r="H470" s="53">
        <f>SUM(H468:H469)</f>
        <v>18228770.199999999</v>
      </c>
      <c r="I470" s="53">
        <f>SUM(I468:I469)</f>
        <v>0</v>
      </c>
      <c r="J470" s="53">
        <f>SUM(J468:J469)</f>
        <v>626918</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171286956.74000001</v>
      </c>
      <c r="G472" s="18">
        <v>5847908.8300000001</v>
      </c>
      <c r="H472" s="18">
        <v>18704677.460000001</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171286956.74000001</v>
      </c>
      <c r="G474" s="53">
        <f>SUM(G472:G473)</f>
        <v>5847908.8300000001</v>
      </c>
      <c r="H474" s="53">
        <f>SUM(H472:H473)</f>
        <v>18704677.460000001</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330048.68000000715</v>
      </c>
      <c r="G476" s="53">
        <f>(G465+G470)- G474</f>
        <v>435626.34999999963</v>
      </c>
      <c r="H476" s="53">
        <f>(H465+H470)- H474</f>
        <v>618397.16999999806</v>
      </c>
      <c r="I476" s="53">
        <f>(I465+I470)- I474</f>
        <v>0</v>
      </c>
      <c r="J476" s="53">
        <f>(J465+J470)- J474</f>
        <v>1560833.54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v>6830426.7199999997</v>
      </c>
      <c r="G507" s="144">
        <v>1197823.68</v>
      </c>
      <c r="H507" s="144">
        <v>62899.8</v>
      </c>
      <c r="I507" s="144">
        <v>7965350.5999999996</v>
      </c>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339529.77+85600.97+9888.74+6336862.75+49429.77+790161.48+684368.71+20438.23+239446.21+235272.45</f>
        <v>8790999.0800000001</v>
      </c>
      <c r="G521" s="18">
        <f>72803.38+55847.3+936+4558519.95+17112.21+357064.71+368123.61+30109.4+150640.36+111751.7</f>
        <v>5722908.620000001</v>
      </c>
      <c r="H521" s="18">
        <f>264385.4+35527.15+55427.12+113.4+121.89+33.37+472403.63+2000+65+500+1270552.67+2614.4+12825+358.98+1083.63+62570+460648.26+80.66</f>
        <v>2641310.5599999996</v>
      </c>
      <c r="I521" s="18">
        <f>11648.66+696.99+35422.09+111.56+403.18+134.9+100</f>
        <v>48517.38</v>
      </c>
      <c r="J521" s="18">
        <f>358.2+2835.45</f>
        <v>3193.6499999999996</v>
      </c>
      <c r="K521" s="18">
        <f>233.64</f>
        <v>233.64</v>
      </c>
      <c r="L521" s="88">
        <f>SUM(F521:K521)</f>
        <v>17207162.93</v>
      </c>
      <c r="N521" s="265"/>
    </row>
    <row r="522" spans="1:14" s="52" customFormat="1" ht="12.2" customHeight="1" x14ac:dyDescent="0.2">
      <c r="A522" s="22" t="s">
        <v>634</v>
      </c>
      <c r="B522" s="105">
        <v>21</v>
      </c>
      <c r="C522" s="115">
        <v>2</v>
      </c>
      <c r="D522" s="2" t="s">
        <v>432</v>
      </c>
      <c r="E522" s="115"/>
      <c r="F522" s="18">
        <f>198059.03+49933.9+5768.43+3431640.08+389641.94+146032.25+78158.96+120182.15</f>
        <v>4419416.74</v>
      </c>
      <c r="G522" s="18">
        <f>42468.64+32577.59+546+2092481.71+236452.09+56657.66+20513.06+56600.81</f>
        <v>2538297.56</v>
      </c>
      <c r="H522" s="18">
        <f>154224.82+20724.17+32332.48+66.15+71.1+19.47+92412.6+1386416.38+2043.49+10712.5+485405.43+919854.77+185634.37</f>
        <v>3289917.73</v>
      </c>
      <c r="I522" s="18">
        <f>6795.05+406.58+7258.84+1021.41+927.95</f>
        <v>16409.830000000002</v>
      </c>
      <c r="J522" s="18">
        <f>208.95</f>
        <v>208.95</v>
      </c>
      <c r="K522" s="18">
        <f>136.29</f>
        <v>136.29</v>
      </c>
      <c r="L522" s="88">
        <f>SUM(F522:K522)</f>
        <v>10264387.1</v>
      </c>
      <c r="N522" s="265"/>
    </row>
    <row r="523" spans="1:14" s="52" customFormat="1" ht="12.2" customHeight="1" thickBot="1" x14ac:dyDescent="0.25">
      <c r="A523" s="22" t="s">
        <v>635</v>
      </c>
      <c r="B523" s="105">
        <v>21</v>
      </c>
      <c r="C523" s="115">
        <v>3</v>
      </c>
      <c r="D523" s="2" t="s">
        <v>432</v>
      </c>
      <c r="E523" s="115"/>
      <c r="F523" s="18">
        <f>405549.44+102245.61+11811.55+2334212.34+140198.84+419039.28+202367.63+46190.04+11230.96+36952.24+18150.94+44625.88+11003.03</f>
        <v>3783577.7799999993</v>
      </c>
      <c r="G523" s="18">
        <f>86959.6+66706.5+1118+1470188.55+79248.72+251171.14+156789.12+31266.82+5569.5+15373.39+12774.24+18207.4+6529.44</f>
        <v>2201902.4200000004</v>
      </c>
      <c r="H523" s="18">
        <f>315793.68+42435.21+66204.61+135.45+145.59+39.86+588652.31+852.3+571.8+3092688.27+73.03+371.25+487198.12+3453.07+557455.85+41252.08+2165.6</f>
        <v>5199488.0799999991</v>
      </c>
      <c r="I523" s="18">
        <f>13913.68+832.51+8971.02+76.79</f>
        <v>23794</v>
      </c>
      <c r="J523" s="18">
        <f>427.85+862.87</f>
        <v>1290.72</v>
      </c>
      <c r="K523" s="18">
        <v>279.07</v>
      </c>
      <c r="L523" s="88">
        <f>SUM(F523:K523)</f>
        <v>11210332.069999998</v>
      </c>
      <c r="N523" s="265"/>
    </row>
    <row r="524" spans="1:14" s="52" customFormat="1" ht="12.2" customHeight="1" thickTop="1" x14ac:dyDescent="0.2">
      <c r="A524" s="139" t="s">
        <v>63</v>
      </c>
      <c r="B524" s="107">
        <v>21</v>
      </c>
      <c r="C524" s="195">
        <v>4</v>
      </c>
      <c r="D524" s="196" t="s">
        <v>432</v>
      </c>
      <c r="E524" s="195"/>
      <c r="F524" s="108">
        <f>SUM(F521:F523)</f>
        <v>16993993.600000001</v>
      </c>
      <c r="G524" s="108">
        <f t="shared" ref="G524:L524" si="36">SUM(G521:G523)</f>
        <v>10463108.600000001</v>
      </c>
      <c r="H524" s="108">
        <f t="shared" si="36"/>
        <v>11130716.369999997</v>
      </c>
      <c r="I524" s="108">
        <f t="shared" si="36"/>
        <v>88721.209999999992</v>
      </c>
      <c r="J524" s="108">
        <f t="shared" si="36"/>
        <v>4693.32</v>
      </c>
      <c r="K524" s="108">
        <f t="shared" si="36"/>
        <v>649</v>
      </c>
      <c r="L524" s="89">
        <f t="shared" si="36"/>
        <v>38681882.100000001</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134918.44+0.01+418882.57+60239.92+970464.28+607733.5</f>
        <v>2192238.7200000002</v>
      </c>
      <c r="G526" s="18">
        <f>68897.49+159523.73+21360.02+510860.77+326845.76+923.6+961</f>
        <v>1089372.3700000001</v>
      </c>
      <c r="H526" s="18">
        <f>137816.98+735.5+408775.04+189.8+2760.86+645833.36+1570.76+488.19+58149.69+655.84+22769.28</f>
        <v>1279745.3</v>
      </c>
      <c r="I526" s="18">
        <f>834.99+46.8</f>
        <v>881.79</v>
      </c>
      <c r="J526" s="18"/>
      <c r="K526" s="18"/>
      <c r="L526" s="88">
        <f>SUM(F526:K526)</f>
        <v>4562238.1800000006</v>
      </c>
      <c r="M526" s="8"/>
      <c r="N526" s="266"/>
    </row>
    <row r="527" spans="1:14" s="3" customFormat="1" ht="12.2" customHeight="1" x14ac:dyDescent="0.15">
      <c r="A527" s="22" t="s">
        <v>634</v>
      </c>
      <c r="B527" s="105">
        <v>21</v>
      </c>
      <c r="C527" s="115">
        <v>6</v>
      </c>
      <c r="D527" s="2" t="s">
        <v>432</v>
      </c>
      <c r="E527" s="115"/>
      <c r="F527" s="18">
        <f>78702.42+186.52+203398.21+13694.52+20444.46+37324.56</f>
        <v>353750.69000000006</v>
      </c>
      <c r="G527" s="18">
        <f>40190.21+81054.57+6066.51+8542.27+24057.23</f>
        <v>159910.79</v>
      </c>
      <c r="H527" s="18">
        <f>80393.24+429.04+4560+190809.46+79.59+658.3+12353.13+6634.81+38026.83+169</f>
        <v>334113.40000000002</v>
      </c>
      <c r="I527" s="18"/>
      <c r="J527" s="18"/>
      <c r="K527" s="18"/>
      <c r="L527" s="88">
        <f>SUM(F527:K527)</f>
        <v>847774.88000000012</v>
      </c>
      <c r="M527" s="8"/>
      <c r="N527" s="266"/>
    </row>
    <row r="528" spans="1:14" s="3" customFormat="1" ht="12.2" customHeight="1" thickBot="1" x14ac:dyDescent="0.2">
      <c r="A528" s="22" t="s">
        <v>635</v>
      </c>
      <c r="B528" s="118">
        <v>21</v>
      </c>
      <c r="C528" s="118">
        <v>7</v>
      </c>
      <c r="D528" s="2" t="s">
        <v>432</v>
      </c>
      <c r="E528" s="118"/>
      <c r="F528" s="18">
        <f>161152.58+52894.92+133278.08+67180.84+57050.18</f>
        <v>471556.59999999992</v>
      </c>
      <c r="G528" s="18">
        <f>82294.23+36887.19+59835.78+30547.44+31094.77+610</f>
        <v>241269.41</v>
      </c>
      <c r="H528" s="18">
        <f>164614.72+878.52+2381.06+113288.92+3464.4+196.18+59371.07+73446.28+19778.62+57951.7</f>
        <v>495371.47000000003</v>
      </c>
      <c r="I528" s="18">
        <v>79.11</v>
      </c>
      <c r="J528" s="18"/>
      <c r="K528" s="18"/>
      <c r="L528" s="88">
        <f>SUM(F528:K528)</f>
        <v>1208276.5900000001</v>
      </c>
      <c r="M528" s="8"/>
      <c r="N528" s="266"/>
    </row>
    <row r="529" spans="1:14" s="3" customFormat="1" ht="12.2" customHeight="1" thickTop="1" x14ac:dyDescent="0.15">
      <c r="A529" s="139" t="s">
        <v>65</v>
      </c>
      <c r="B529" s="107">
        <v>21</v>
      </c>
      <c r="C529" s="107">
        <v>8</v>
      </c>
      <c r="D529" s="158" t="s">
        <v>432</v>
      </c>
      <c r="E529" s="107"/>
      <c r="F529" s="89">
        <f>SUM(F526:F528)</f>
        <v>3017546.0100000002</v>
      </c>
      <c r="G529" s="89">
        <f t="shared" ref="G529:L529" si="37">SUM(G526:G528)</f>
        <v>1490552.57</v>
      </c>
      <c r="H529" s="89">
        <f t="shared" si="37"/>
        <v>2109230.1700000004</v>
      </c>
      <c r="I529" s="89">
        <f t="shared" si="37"/>
        <v>960.9</v>
      </c>
      <c r="J529" s="89">
        <f t="shared" si="37"/>
        <v>0</v>
      </c>
      <c r="K529" s="89">
        <f t="shared" si="37"/>
        <v>0</v>
      </c>
      <c r="L529" s="89">
        <f t="shared" si="37"/>
        <v>6618289.6500000004</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87296.79</v>
      </c>
      <c r="G531" s="18">
        <v>36269.839999999997</v>
      </c>
      <c r="H531" s="18">
        <v>375.88</v>
      </c>
      <c r="I531" s="18"/>
      <c r="J531" s="18"/>
      <c r="K531" s="18"/>
      <c r="L531" s="88">
        <f>SUM(F531:K531)</f>
        <v>123942.51</v>
      </c>
      <c r="M531" s="8"/>
      <c r="N531" s="266"/>
    </row>
    <row r="532" spans="1:14" s="3" customFormat="1" ht="12.2" customHeight="1" x14ac:dyDescent="0.15">
      <c r="A532" s="22" t="s">
        <v>634</v>
      </c>
      <c r="B532" s="105">
        <v>21</v>
      </c>
      <c r="C532" s="105">
        <v>10</v>
      </c>
      <c r="D532" s="2" t="s">
        <v>432</v>
      </c>
      <c r="E532" s="105"/>
      <c r="F532" s="18">
        <v>50923.13</v>
      </c>
      <c r="G532" s="18">
        <v>21157.41</v>
      </c>
      <c r="H532" s="18">
        <v>219.26</v>
      </c>
      <c r="I532" s="18"/>
      <c r="J532" s="18"/>
      <c r="K532" s="18"/>
      <c r="L532" s="88">
        <f>SUM(F532:K532)</f>
        <v>72299.799999999988</v>
      </c>
      <c r="M532" s="8"/>
      <c r="N532" s="266"/>
    </row>
    <row r="533" spans="1:14" s="3" customFormat="1" ht="12.2" customHeight="1" thickBot="1" x14ac:dyDescent="0.2">
      <c r="A533" s="22" t="s">
        <v>635</v>
      </c>
      <c r="B533" s="105">
        <v>21</v>
      </c>
      <c r="C533" s="105">
        <v>11</v>
      </c>
      <c r="D533" s="2" t="s">
        <v>432</v>
      </c>
      <c r="E533" s="105"/>
      <c r="F533" s="18">
        <v>104271.16</v>
      </c>
      <c r="G533" s="18">
        <v>43322.31</v>
      </c>
      <c r="H533" s="18">
        <v>448.97</v>
      </c>
      <c r="I533" s="18"/>
      <c r="J533" s="18"/>
      <c r="K533" s="18"/>
      <c r="L533" s="88">
        <f>SUM(F533:K533)</f>
        <v>148042.44</v>
      </c>
      <c r="M533" s="8"/>
      <c r="N533" s="266"/>
    </row>
    <row r="534" spans="1:14" s="3" customFormat="1" ht="12.2" customHeight="1" thickTop="1" x14ac:dyDescent="0.15">
      <c r="A534" s="139" t="s">
        <v>67</v>
      </c>
      <c r="B534" s="107">
        <v>21</v>
      </c>
      <c r="C534" s="107">
        <v>12</v>
      </c>
      <c r="D534" s="158" t="s">
        <v>432</v>
      </c>
      <c r="E534" s="107"/>
      <c r="F534" s="89">
        <f>SUM(F531:F533)</f>
        <v>242491.08</v>
      </c>
      <c r="G534" s="89">
        <f t="shared" ref="G534:L534" si="38">SUM(G531:G533)</f>
        <v>100749.56</v>
      </c>
      <c r="H534" s="89">
        <f t="shared" si="38"/>
        <v>1044.1100000000001</v>
      </c>
      <c r="I534" s="89">
        <f t="shared" si="38"/>
        <v>0</v>
      </c>
      <c r="J534" s="89">
        <f t="shared" si="38"/>
        <v>0</v>
      </c>
      <c r="K534" s="89">
        <f t="shared" si="38"/>
        <v>0</v>
      </c>
      <c r="L534" s="89">
        <f t="shared" si="38"/>
        <v>344284.75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24866.55</v>
      </c>
      <c r="I536" s="18"/>
      <c r="J536" s="18"/>
      <c r="K536" s="18"/>
      <c r="L536" s="88">
        <f>SUM(F536:K536)</f>
        <v>24866.55</v>
      </c>
      <c r="M536" s="8"/>
      <c r="N536" s="266"/>
    </row>
    <row r="537" spans="1:14" s="3" customFormat="1" ht="12.2" customHeight="1" x14ac:dyDescent="0.15">
      <c r="A537" s="22" t="s">
        <v>634</v>
      </c>
      <c r="B537" s="105">
        <v>21</v>
      </c>
      <c r="C537" s="105">
        <v>14</v>
      </c>
      <c r="D537" s="2" t="s">
        <v>432</v>
      </c>
      <c r="E537" s="105"/>
      <c r="F537" s="18"/>
      <c r="G537" s="18"/>
      <c r="H537" s="18">
        <v>14505.49</v>
      </c>
      <c r="I537" s="18"/>
      <c r="J537" s="18"/>
      <c r="K537" s="18"/>
      <c r="L537" s="88">
        <f>SUM(F537:K537)</f>
        <v>14505.49</v>
      </c>
      <c r="M537" s="8"/>
      <c r="N537" s="266"/>
    </row>
    <row r="538" spans="1:14" s="3" customFormat="1" ht="12.2" customHeight="1" thickBot="1" x14ac:dyDescent="0.2">
      <c r="A538" s="22" t="s">
        <v>635</v>
      </c>
      <c r="B538" s="105">
        <v>21</v>
      </c>
      <c r="C538" s="105">
        <v>15</v>
      </c>
      <c r="D538" s="2" t="s">
        <v>432</v>
      </c>
      <c r="E538" s="105"/>
      <c r="F538" s="18"/>
      <c r="G538" s="18"/>
      <c r="H538" s="18">
        <v>29701.71</v>
      </c>
      <c r="I538" s="18"/>
      <c r="J538" s="18"/>
      <c r="K538" s="18"/>
      <c r="L538" s="88">
        <f>SUM(F538:K538)</f>
        <v>29701.71</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69073.75</v>
      </c>
      <c r="I539" s="89">
        <f t="shared" si="39"/>
        <v>0</v>
      </c>
      <c r="J539" s="89">
        <f t="shared" si="39"/>
        <v>0</v>
      </c>
      <c r="K539" s="89">
        <f t="shared" si="39"/>
        <v>0</v>
      </c>
      <c r="L539" s="89">
        <f t="shared" si="39"/>
        <v>69073.75</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10010.700000000001</v>
      </c>
      <c r="G541" s="18">
        <v>6142.79</v>
      </c>
      <c r="H541" s="18">
        <v>1298138.6399999999</v>
      </c>
      <c r="I541" s="18"/>
      <c r="J541" s="18"/>
      <c r="K541" s="18"/>
      <c r="L541" s="88">
        <f>SUM(F541:K541)</f>
        <v>1314292.1299999999</v>
      </c>
      <c r="M541" s="8"/>
      <c r="N541" s="266"/>
    </row>
    <row r="542" spans="1:14" s="3" customFormat="1" ht="12.2" customHeight="1" x14ac:dyDescent="0.15">
      <c r="A542" s="22" t="s">
        <v>634</v>
      </c>
      <c r="B542" s="105">
        <v>21</v>
      </c>
      <c r="C542" s="105">
        <v>18</v>
      </c>
      <c r="D542" s="2" t="s">
        <v>432</v>
      </c>
      <c r="E542" s="105"/>
      <c r="F542" s="18">
        <v>8164.59</v>
      </c>
      <c r="G542" s="18">
        <v>5009.97</v>
      </c>
      <c r="H542" s="18">
        <v>1058736.19</v>
      </c>
      <c r="I542" s="18"/>
      <c r="J542" s="18"/>
      <c r="K542" s="18"/>
      <c r="L542" s="88">
        <f>SUM(F542:K542)</f>
        <v>1071910.75</v>
      </c>
      <c r="M542" s="8"/>
      <c r="N542" s="266"/>
    </row>
    <row r="543" spans="1:14" s="3" customFormat="1" ht="12.2" customHeight="1" thickBot="1" x14ac:dyDescent="0.2">
      <c r="A543" s="22" t="s">
        <v>635</v>
      </c>
      <c r="B543" s="105">
        <v>21</v>
      </c>
      <c r="C543" s="105">
        <v>19</v>
      </c>
      <c r="D543" s="2" t="s">
        <v>432</v>
      </c>
      <c r="E543" s="105"/>
      <c r="F543" s="18">
        <v>6840.33</v>
      </c>
      <c r="G543" s="18">
        <v>4197.38</v>
      </c>
      <c r="H543" s="18">
        <v>887020.11</v>
      </c>
      <c r="I543" s="18"/>
      <c r="J543" s="18"/>
      <c r="K543" s="18"/>
      <c r="L543" s="88">
        <f>SUM(F543:K543)</f>
        <v>898057.82</v>
      </c>
      <c r="M543" s="8"/>
      <c r="N543" s="266"/>
    </row>
    <row r="544" spans="1:14" s="3" customFormat="1" ht="12.2" customHeight="1" thickTop="1" thickBot="1" x14ac:dyDescent="0.2">
      <c r="A544" s="130" t="s">
        <v>71</v>
      </c>
      <c r="B544" s="191">
        <v>21</v>
      </c>
      <c r="C544" s="191">
        <v>20</v>
      </c>
      <c r="D544" s="192" t="s">
        <v>432</v>
      </c>
      <c r="E544" s="191"/>
      <c r="F544" s="193">
        <f>SUM(F541:F543)</f>
        <v>25015.620000000003</v>
      </c>
      <c r="G544" s="193">
        <f t="shared" ref="G544:L544" si="40">SUM(G541:G543)</f>
        <v>15350.14</v>
      </c>
      <c r="H544" s="193">
        <f t="shared" si="40"/>
        <v>3243894.94</v>
      </c>
      <c r="I544" s="193">
        <f t="shared" si="40"/>
        <v>0</v>
      </c>
      <c r="J544" s="193">
        <f t="shared" si="40"/>
        <v>0</v>
      </c>
      <c r="K544" s="193">
        <f t="shared" si="40"/>
        <v>0</v>
      </c>
      <c r="L544" s="193">
        <f t="shared" si="40"/>
        <v>3284260.6999999997</v>
      </c>
      <c r="M544" s="8"/>
      <c r="N544" s="266"/>
    </row>
    <row r="545" spans="1:14" s="3" customFormat="1" ht="12.2" customHeight="1" thickTop="1" x14ac:dyDescent="0.15">
      <c r="A545" s="98" t="s">
        <v>72</v>
      </c>
      <c r="B545" s="107">
        <v>21</v>
      </c>
      <c r="C545" s="107">
        <v>21</v>
      </c>
      <c r="D545" s="158" t="s">
        <v>432</v>
      </c>
      <c r="E545" s="107"/>
      <c r="F545" s="89">
        <f>F524+F529+F534+F539+F544</f>
        <v>20279046.310000002</v>
      </c>
      <c r="G545" s="89">
        <f t="shared" ref="G545:L545" si="41">G524+G529+G534+G539+G544</f>
        <v>12069760.870000003</v>
      </c>
      <c r="H545" s="89">
        <f t="shared" si="41"/>
        <v>16553959.339999996</v>
      </c>
      <c r="I545" s="89">
        <f t="shared" si="41"/>
        <v>89682.109999999986</v>
      </c>
      <c r="J545" s="89">
        <f t="shared" si="41"/>
        <v>4693.32</v>
      </c>
      <c r="K545" s="89">
        <f t="shared" si="41"/>
        <v>649</v>
      </c>
      <c r="L545" s="89">
        <f t="shared" si="41"/>
        <v>48997790.950000003</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17207162.93</v>
      </c>
      <c r="G549" s="87">
        <f>L526</f>
        <v>4562238.1800000006</v>
      </c>
      <c r="H549" s="87">
        <f>L531</f>
        <v>123942.51</v>
      </c>
      <c r="I549" s="87">
        <f>L536</f>
        <v>24866.55</v>
      </c>
      <c r="J549" s="87">
        <f>L541</f>
        <v>1314292.1299999999</v>
      </c>
      <c r="K549" s="87">
        <f>SUM(F549:J549)</f>
        <v>23232502.300000001</v>
      </c>
      <c r="L549" s="24" t="s">
        <v>288</v>
      </c>
      <c r="M549" s="8"/>
      <c r="N549" s="266"/>
    </row>
    <row r="550" spans="1:14" s="3" customFormat="1" ht="12.2" customHeight="1" x14ac:dyDescent="0.15">
      <c r="A550" s="22" t="s">
        <v>634</v>
      </c>
      <c r="B550" s="75">
        <v>21</v>
      </c>
      <c r="C550" s="75">
        <v>23</v>
      </c>
      <c r="D550" s="2" t="s">
        <v>432</v>
      </c>
      <c r="E550" s="75"/>
      <c r="F550" s="87">
        <f>L522</f>
        <v>10264387.1</v>
      </c>
      <c r="G550" s="87">
        <f>L527</f>
        <v>847774.88000000012</v>
      </c>
      <c r="H550" s="87">
        <f>L532</f>
        <v>72299.799999999988</v>
      </c>
      <c r="I550" s="87">
        <f>L537</f>
        <v>14505.49</v>
      </c>
      <c r="J550" s="87">
        <f>L542</f>
        <v>1071910.75</v>
      </c>
      <c r="K550" s="87">
        <f>SUM(F550:J550)</f>
        <v>12270878.020000001</v>
      </c>
      <c r="L550" s="24" t="s">
        <v>288</v>
      </c>
      <c r="M550" s="8"/>
      <c r="N550" s="266"/>
    </row>
    <row r="551" spans="1:14" s="3" customFormat="1" ht="12.2" customHeight="1" thickBot="1" x14ac:dyDescent="0.2">
      <c r="A551" s="22" t="s">
        <v>635</v>
      </c>
      <c r="B551" s="75">
        <v>21</v>
      </c>
      <c r="C551" s="75">
        <v>24</v>
      </c>
      <c r="D551" s="2" t="s">
        <v>432</v>
      </c>
      <c r="E551" s="75"/>
      <c r="F551" s="87">
        <f>L523</f>
        <v>11210332.069999998</v>
      </c>
      <c r="G551" s="87">
        <f>L528</f>
        <v>1208276.5900000001</v>
      </c>
      <c r="H551" s="87">
        <f>L533</f>
        <v>148042.44</v>
      </c>
      <c r="I551" s="87">
        <f>L538</f>
        <v>29701.71</v>
      </c>
      <c r="J551" s="87">
        <f>L543</f>
        <v>898057.82</v>
      </c>
      <c r="K551" s="87">
        <f>SUM(F551:J551)</f>
        <v>13494410.629999999</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38681882.100000001</v>
      </c>
      <c r="G552" s="89">
        <f t="shared" si="42"/>
        <v>6618289.6500000004</v>
      </c>
      <c r="H552" s="89">
        <f t="shared" si="42"/>
        <v>344284.75</v>
      </c>
      <c r="I552" s="89">
        <f t="shared" si="42"/>
        <v>69073.75</v>
      </c>
      <c r="J552" s="89">
        <f t="shared" si="42"/>
        <v>3284260.6999999997</v>
      </c>
      <c r="K552" s="89">
        <f t="shared" si="42"/>
        <v>48997790.950000003</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f>340030.17+3206189.35-0.01</f>
        <v>3546219.5100000002</v>
      </c>
      <c r="G557" s="18">
        <f>156565.6+1440800.13</f>
        <v>1597365.73</v>
      </c>
      <c r="H557" s="18">
        <f>204307.92+429788.37+122652.71+2395.6</f>
        <v>759144.6</v>
      </c>
      <c r="I557" s="18">
        <f>245042.22+97230.23+112253.37</f>
        <v>454525.82</v>
      </c>
      <c r="J557" s="18">
        <f>13612.91+123157.83+11758.07</f>
        <v>148528.81</v>
      </c>
      <c r="K557" s="18"/>
      <c r="L557" s="88">
        <f>SUM(F557:K557)</f>
        <v>6505784.4699999997</v>
      </c>
      <c r="M557" s="8"/>
      <c r="N557" s="266"/>
    </row>
    <row r="558" spans="1:14" s="3" customFormat="1" ht="12.2" customHeight="1" x14ac:dyDescent="0.15">
      <c r="A558" s="22" t="s">
        <v>634</v>
      </c>
      <c r="B558" s="105">
        <v>22</v>
      </c>
      <c r="C558" s="115">
        <v>2</v>
      </c>
      <c r="D558" s="2" t="s">
        <v>432</v>
      </c>
      <c r="E558" s="115"/>
      <c r="F558" s="18">
        <f>7420.49+78198</f>
        <v>85618.49</v>
      </c>
      <c r="G558" s="18">
        <f>3416.74+40735.84</f>
        <v>44152.579999999994</v>
      </c>
      <c r="H558" s="18">
        <f>4458.62</f>
        <v>4458.62</v>
      </c>
      <c r="I558" s="18">
        <f>5347.56+1429.89+671.7</f>
        <v>7449.1500000000005</v>
      </c>
      <c r="J558" s="18">
        <f>297.07</f>
        <v>297.07</v>
      </c>
      <c r="K558" s="18"/>
      <c r="L558" s="88">
        <f>SUM(F558:K558)</f>
        <v>141975.91</v>
      </c>
      <c r="M558" s="8"/>
      <c r="N558" s="266"/>
    </row>
    <row r="559" spans="1:14" s="3" customFormat="1" ht="12.2" customHeight="1" thickBot="1" x14ac:dyDescent="0.2">
      <c r="A559" s="22" t="s">
        <v>635</v>
      </c>
      <c r="B559" s="105">
        <v>22</v>
      </c>
      <c r="C559" s="115">
        <v>3</v>
      </c>
      <c r="D559" s="2" t="s">
        <v>432</v>
      </c>
      <c r="E559" s="115"/>
      <c r="F559" s="18">
        <f>2651.47+34564</f>
        <v>37215.47</v>
      </c>
      <c r="G559" s="18">
        <f>1220.86+8684.09</f>
        <v>9904.9500000000007</v>
      </c>
      <c r="H559" s="18">
        <f>1593.14</f>
        <v>1593.14</v>
      </c>
      <c r="I559" s="18">
        <f>1910.78</f>
        <v>1910.78</v>
      </c>
      <c r="J559" s="18">
        <f>106.15</f>
        <v>106.15</v>
      </c>
      <c r="K559" s="18"/>
      <c r="L559" s="88">
        <f>SUM(F559:K559)</f>
        <v>50730.49</v>
      </c>
      <c r="M559" s="8"/>
      <c r="N559" s="266"/>
    </row>
    <row r="560" spans="1:14" s="3" customFormat="1" ht="12.2" customHeight="1" thickTop="1" x14ac:dyDescent="0.15">
      <c r="A560" s="139" t="s">
        <v>63</v>
      </c>
      <c r="B560" s="107">
        <v>22</v>
      </c>
      <c r="C560" s="195">
        <v>4</v>
      </c>
      <c r="D560" s="196" t="s">
        <v>432</v>
      </c>
      <c r="E560" s="195"/>
      <c r="F560" s="108">
        <f t="shared" ref="F560:L560" si="43">SUM(F557:F559)</f>
        <v>3669053.4700000007</v>
      </c>
      <c r="G560" s="108">
        <f t="shared" si="43"/>
        <v>1651423.26</v>
      </c>
      <c r="H560" s="108">
        <f t="shared" si="43"/>
        <v>765196.36</v>
      </c>
      <c r="I560" s="108">
        <f t="shared" si="43"/>
        <v>463885.75000000006</v>
      </c>
      <c r="J560" s="108">
        <f t="shared" si="43"/>
        <v>148932.03</v>
      </c>
      <c r="K560" s="108">
        <f t="shared" si="43"/>
        <v>0</v>
      </c>
      <c r="L560" s="89">
        <f t="shared" si="43"/>
        <v>6698490.8700000001</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f>88853.41+1962866.48</f>
        <v>2051719.89</v>
      </c>
      <c r="G562" s="18">
        <f>39318.4+1064397.37</f>
        <v>1103715.77</v>
      </c>
      <c r="H562" s="18">
        <f>9528.47+28380.06+5602+1249.46</f>
        <v>44759.99</v>
      </c>
      <c r="I562" s="18">
        <f>17370.01+14255.94+2211.78</f>
        <v>33837.729999999996</v>
      </c>
      <c r="J562" s="18">
        <f>902.92+9399.75</f>
        <v>10302.67</v>
      </c>
      <c r="K562" s="18"/>
      <c r="L562" s="88">
        <f>SUM(F562:K562)</f>
        <v>3244336.0500000003</v>
      </c>
      <c r="M562" s="8"/>
      <c r="N562" s="266"/>
    </row>
    <row r="563" spans="1:14" s="3" customFormat="1" ht="12.2" customHeight="1" x14ac:dyDescent="0.15">
      <c r="A563" s="22" t="s">
        <v>634</v>
      </c>
      <c r="B563" s="105">
        <v>22</v>
      </c>
      <c r="C563" s="115">
        <v>6</v>
      </c>
      <c r="D563" s="2" t="s">
        <v>432</v>
      </c>
      <c r="E563" s="115"/>
      <c r="F563" s="18">
        <f>36732.63+798126.24</f>
        <v>834858.87</v>
      </c>
      <c r="G563" s="18">
        <f>16254.5+440693.7</f>
        <v>456948.2</v>
      </c>
      <c r="H563" s="18">
        <f>3939.14+9780.35+12149.84</f>
        <v>25869.33</v>
      </c>
      <c r="I563" s="18">
        <f>7180.89+2017.76+13023.17</f>
        <v>22221.82</v>
      </c>
      <c r="J563" s="18">
        <f>373.27+959.99</f>
        <v>1333.26</v>
      </c>
      <c r="K563" s="18"/>
      <c r="L563" s="88">
        <f>SUM(F563:K563)</f>
        <v>1341231.4800000002</v>
      </c>
      <c r="M563" s="8"/>
      <c r="N563" s="266"/>
    </row>
    <row r="564" spans="1:14" s="3" customFormat="1" ht="12.2" customHeight="1" thickBot="1" x14ac:dyDescent="0.2">
      <c r="A564" s="22" t="s">
        <v>635</v>
      </c>
      <c r="B564" s="105">
        <v>22</v>
      </c>
      <c r="C564" s="118">
        <v>7</v>
      </c>
      <c r="D564" s="2" t="s">
        <v>432</v>
      </c>
      <c r="E564" s="118"/>
      <c r="F564" s="18">
        <f>36587.64+793257.3</f>
        <v>829844.94000000006</v>
      </c>
      <c r="G564" s="18">
        <f>16190.35+406085.32</f>
        <v>422275.67</v>
      </c>
      <c r="H564" s="18">
        <f>3923.59+25770.26+12130.84+2395.33</f>
        <v>44220.020000000004</v>
      </c>
      <c r="I564" s="18">
        <f>7152.54+9216.81+13741.01</f>
        <v>30110.36</v>
      </c>
      <c r="J564" s="18">
        <f>371.8+5291.17+3823.64</f>
        <v>9486.61</v>
      </c>
      <c r="K564" s="18"/>
      <c r="L564" s="88">
        <f>SUM(F564:K564)</f>
        <v>1335937.6000000003</v>
      </c>
      <c r="M564" s="8"/>
      <c r="N564" s="266"/>
    </row>
    <row r="565" spans="1:14" s="3" customFormat="1" ht="12.2" customHeight="1" thickTop="1" x14ac:dyDescent="0.15">
      <c r="A565" s="139" t="s">
        <v>65</v>
      </c>
      <c r="B565" s="107">
        <v>22</v>
      </c>
      <c r="C565" s="107">
        <v>8</v>
      </c>
      <c r="D565" s="196" t="s">
        <v>432</v>
      </c>
      <c r="E565" s="107"/>
      <c r="F565" s="89">
        <f t="shared" ref="F565:L565" si="44">SUM(F562:F564)</f>
        <v>3716423.6999999997</v>
      </c>
      <c r="G565" s="89">
        <f t="shared" si="44"/>
        <v>1982939.64</v>
      </c>
      <c r="H565" s="89">
        <f t="shared" si="44"/>
        <v>114849.34000000001</v>
      </c>
      <c r="I565" s="89">
        <f t="shared" si="44"/>
        <v>86169.91</v>
      </c>
      <c r="J565" s="89">
        <f t="shared" si="44"/>
        <v>21122.54</v>
      </c>
      <c r="K565" s="89">
        <f t="shared" si="44"/>
        <v>0</v>
      </c>
      <c r="L565" s="89">
        <f t="shared" si="44"/>
        <v>5921505.1300000008</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7385477.1699999999</v>
      </c>
      <c r="G571" s="89">
        <f t="shared" ref="G571:L571" si="46">G560+G565+G570</f>
        <v>3634362.9</v>
      </c>
      <c r="H571" s="89">
        <f t="shared" si="46"/>
        <v>880045.7</v>
      </c>
      <c r="I571" s="89">
        <f t="shared" si="46"/>
        <v>550055.66</v>
      </c>
      <c r="J571" s="89">
        <f t="shared" si="46"/>
        <v>170054.57</v>
      </c>
      <c r="K571" s="89">
        <f t="shared" si="46"/>
        <v>0</v>
      </c>
      <c r="L571" s="89">
        <f t="shared" si="46"/>
        <v>12619996</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v>16017</v>
      </c>
      <c r="I577" s="87">
        <f t="shared" si="47"/>
        <v>16017</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v>15400</v>
      </c>
      <c r="I578" s="87">
        <f t="shared" si="47"/>
        <v>15400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f>53338.54+434777.06</f>
        <v>488115.6</v>
      </c>
      <c r="G579" s="18">
        <f>175208.66+713194.58</f>
        <v>888403.24</v>
      </c>
      <c r="H579" s="18">
        <f>5872.27+38935.26+475463.06+487198.12</f>
        <v>1007468.71</v>
      </c>
      <c r="I579" s="87">
        <f t="shared" si="47"/>
        <v>2383987.5499999998</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v>79909.2</v>
      </c>
      <c r="G580" s="18">
        <v>116028</v>
      </c>
      <c r="H580" s="18">
        <v>114092.58</v>
      </c>
      <c r="I580" s="87">
        <f t="shared" si="47"/>
        <v>310029.78000000003</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f>31600+931065.42+666887.77-434777.06</f>
        <v>1194776.1299999999</v>
      </c>
      <c r="G582" s="18">
        <f>1516373.93+1344909.02-175208.66-713194.58</f>
        <v>1972879.71</v>
      </c>
      <c r="H582" s="18">
        <f>1699375.58+2359253.89-38935.26-475463.06-487198.12</f>
        <v>3057033.0300000003</v>
      </c>
      <c r="I582" s="87">
        <f t="shared" si="47"/>
        <v>6224688.8700000001</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7931.4+4866.88+1028504.1+27.04</f>
        <v>1041329.42</v>
      </c>
      <c r="I591" s="18">
        <f>8989.43+5516.11+1165696.95+17.05</f>
        <v>1180219.54</v>
      </c>
      <c r="J591" s="18">
        <f>3063.57+1879.87+397268.38+14.7</f>
        <v>402226.52</v>
      </c>
      <c r="K591" s="104">
        <f t="shared" ref="K591:K597" si="48">SUM(H591:J591)</f>
        <v>2623775.48</v>
      </c>
      <c r="L591" s="24" t="s">
        <v>288</v>
      </c>
      <c r="M591" s="8"/>
      <c r="N591" s="266"/>
    </row>
    <row r="592" spans="1:14" s="3" customFormat="1" ht="12.2" customHeight="1" x14ac:dyDescent="0.15">
      <c r="A592" s="3" t="s">
        <v>638</v>
      </c>
      <c r="B592" s="75">
        <v>23</v>
      </c>
      <c r="C592" s="75">
        <v>2</v>
      </c>
      <c r="D592" s="2" t="s">
        <v>432</v>
      </c>
      <c r="E592" s="75"/>
      <c r="F592" s="102">
        <v>2722</v>
      </c>
      <c r="G592" s="103" t="s">
        <v>97</v>
      </c>
      <c r="H592" s="18">
        <f>10010.7+6142.79+1298138.64</f>
        <v>1314292.1299999999</v>
      </c>
      <c r="I592" s="18">
        <f>8164.59+5009.97+1058736.18</f>
        <v>1071910.74</v>
      </c>
      <c r="J592" s="18">
        <f>6840.33+4197.38+887020.11</f>
        <v>898057.82</v>
      </c>
      <c r="K592" s="104">
        <f t="shared" si="48"/>
        <v>3284260.69</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0</v>
      </c>
      <c r="I594" s="18">
        <v>23070.48</v>
      </c>
      <c r="J594" s="18">
        <v>114056.2</v>
      </c>
      <c r="K594" s="104">
        <f t="shared" si="48"/>
        <v>137126.68</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f>3461.83</f>
        <v>3461.83</v>
      </c>
      <c r="I595" s="18">
        <v>3309.77</v>
      </c>
      <c r="J595" s="18">
        <f>1910.9+4672.5</f>
        <v>6583.4</v>
      </c>
      <c r="K595" s="104">
        <f t="shared" si="48"/>
        <v>13355</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2359083.38</v>
      </c>
      <c r="I598" s="108">
        <f>SUM(I591:I597)</f>
        <v>2278510.5300000003</v>
      </c>
      <c r="J598" s="108">
        <f>SUM(J591:J597)</f>
        <v>1420923.9399999997</v>
      </c>
      <c r="K598" s="108">
        <f>SUM(K591:K597)</f>
        <v>6058517.8499999996</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25762.02+235152.92-9949.67-0.01</f>
        <v>250965.25999999998</v>
      </c>
      <c r="I604" s="18">
        <f>6103.35+38096.26-10138.06</f>
        <v>34061.550000000003</v>
      </c>
      <c r="J604" s="18">
        <f>434551.75+3975.16+6047.06-3952.58</f>
        <v>440621.38999999996</v>
      </c>
      <c r="K604" s="104">
        <f>SUM(H604:J604)</f>
        <v>725648.2</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250965.25999999998</v>
      </c>
      <c r="I605" s="108">
        <f>SUM(I602:I604)</f>
        <v>34061.550000000003</v>
      </c>
      <c r="J605" s="108">
        <f>SUM(J602:J604)</f>
        <v>440621.38999999996</v>
      </c>
      <c r="K605" s="108">
        <f>SUM(K602:K604)</f>
        <v>725648.2</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89752.22</v>
      </c>
      <c r="G611" s="18">
        <v>20803.439999999999</v>
      </c>
      <c r="H611" s="18">
        <v>76352.100000000006</v>
      </c>
      <c r="I611" s="18"/>
      <c r="J611" s="18"/>
      <c r="K611" s="18"/>
      <c r="L611" s="88">
        <f>SUM(F611:K611)</f>
        <v>186907.76</v>
      </c>
      <c r="M611" s="8"/>
      <c r="N611" s="266"/>
    </row>
    <row r="612" spans="1:14" s="3" customFormat="1" ht="12.2" customHeight="1" x14ac:dyDescent="0.15">
      <c r="A612" s="22" t="s">
        <v>634</v>
      </c>
      <c r="B612" s="75">
        <v>23</v>
      </c>
      <c r="C612" s="75">
        <v>14</v>
      </c>
      <c r="D612" s="2" t="s">
        <v>432</v>
      </c>
      <c r="E612" s="75"/>
      <c r="F612" s="18">
        <v>28774.86</v>
      </c>
      <c r="G612" s="18">
        <v>6428.83</v>
      </c>
      <c r="H612" s="18">
        <v>26285.15</v>
      </c>
      <c r="I612" s="18"/>
      <c r="J612" s="18"/>
      <c r="K612" s="18"/>
      <c r="L612" s="88">
        <f>SUM(F612:K612)</f>
        <v>61488.840000000004</v>
      </c>
      <c r="M612" s="8"/>
      <c r="N612" s="266"/>
    </row>
    <row r="613" spans="1:14" s="3" customFormat="1" ht="12.2" customHeight="1" thickBot="1" x14ac:dyDescent="0.2">
      <c r="A613" s="22" t="s">
        <v>645</v>
      </c>
      <c r="B613" s="75">
        <v>23</v>
      </c>
      <c r="C613" s="75">
        <v>15</v>
      </c>
      <c r="D613" s="2" t="s">
        <v>432</v>
      </c>
      <c r="E613" s="75"/>
      <c r="F613" s="18">
        <v>24664.16</v>
      </c>
      <c r="G613" s="18">
        <v>5510.42</v>
      </c>
      <c r="H613" s="18">
        <v>22530.13</v>
      </c>
      <c r="I613" s="18"/>
      <c r="J613" s="18"/>
      <c r="K613" s="18"/>
      <c r="L613" s="88">
        <f>SUM(F613:K613)</f>
        <v>52704.710000000006</v>
      </c>
      <c r="M613" s="8"/>
      <c r="N613" s="266"/>
    </row>
    <row r="614" spans="1:14" s="3" customFormat="1" ht="12.2" customHeight="1" thickTop="1" x14ac:dyDescent="0.15">
      <c r="A614" s="98" t="s">
        <v>340</v>
      </c>
      <c r="B614" s="107">
        <v>23</v>
      </c>
      <c r="C614" s="107">
        <v>16</v>
      </c>
      <c r="D614" s="39" t="s">
        <v>432</v>
      </c>
      <c r="E614" s="107"/>
      <c r="F614" s="108">
        <f t="shared" ref="F614:L614" si="49">SUM(F611:F613)</f>
        <v>143191.24</v>
      </c>
      <c r="G614" s="108">
        <f t="shared" si="49"/>
        <v>32742.689999999995</v>
      </c>
      <c r="H614" s="108">
        <f t="shared" si="49"/>
        <v>125167.38</v>
      </c>
      <c r="I614" s="108">
        <f t="shared" si="49"/>
        <v>0</v>
      </c>
      <c r="J614" s="108">
        <f t="shared" si="49"/>
        <v>0</v>
      </c>
      <c r="K614" s="108">
        <f t="shared" si="49"/>
        <v>0</v>
      </c>
      <c r="L614" s="89">
        <f t="shared" si="49"/>
        <v>301101.31</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39383493.43</v>
      </c>
      <c r="H617" s="109">
        <f>SUM(F52)</f>
        <v>39383493.43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556181.12</v>
      </c>
      <c r="H618" s="109">
        <f>SUM(G52)</f>
        <v>556181.12</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3671769.29</v>
      </c>
      <c r="H619" s="109">
        <f>SUM(H52)</f>
        <v>3671769.2900000005</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1560833.54</v>
      </c>
      <c r="H621" s="109">
        <f>SUM(J52)</f>
        <v>1560833.54</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330048.68</v>
      </c>
      <c r="H622" s="109">
        <f>F476</f>
        <v>330048.68000000715</v>
      </c>
      <c r="I622" s="121" t="s">
        <v>101</v>
      </c>
      <c r="J622" s="109">
        <f t="shared" ref="J622:J655" si="50">G622-H622</f>
        <v>-7.1595422923564911E-9</v>
      </c>
      <c r="K622" s="109"/>
      <c r="L622" s="109"/>
      <c r="M622" s="8"/>
    </row>
    <row r="623" spans="1:14" s="3" customFormat="1" ht="12.2" customHeight="1" x14ac:dyDescent="0.15">
      <c r="A623" s="97"/>
      <c r="B623" s="105"/>
      <c r="C623" s="119"/>
      <c r="D623" s="119"/>
      <c r="E623" s="119"/>
      <c r="F623" s="119" t="s">
        <v>866</v>
      </c>
      <c r="G623" s="109">
        <f>G51</f>
        <v>435626.35000000003</v>
      </c>
      <c r="H623" s="109">
        <f>G476</f>
        <v>435626.34999999963</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618397.17000000004</v>
      </c>
      <c r="H624" s="109">
        <f>H476</f>
        <v>618397.16999999806</v>
      </c>
      <c r="I624" s="121" t="s">
        <v>103</v>
      </c>
      <c r="J624" s="109">
        <f t="shared" si="50"/>
        <v>1.9790604710578918E-9</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1560833.54</v>
      </c>
      <c r="H626" s="109">
        <f>J476</f>
        <v>1560833.54</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171142902.52000001</v>
      </c>
      <c r="H627" s="104">
        <f>SUM(F468)</f>
        <v>171142902.52000001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5699680.3299999991</v>
      </c>
      <c r="H628" s="104">
        <f>SUM(G468)</f>
        <v>5699680.3300000001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18228770.199999999</v>
      </c>
      <c r="H629" s="104">
        <f>SUM(H468)</f>
        <v>18228770.199999999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626918</v>
      </c>
      <c r="H631" s="104">
        <f>SUM(J468)</f>
        <v>626918</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171286956.74000001</v>
      </c>
      <c r="H632" s="104">
        <f>SUM(F472)</f>
        <v>171286956.74000001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18704677.460999999</v>
      </c>
      <c r="H633" s="104">
        <f>SUM(H472)</f>
        <v>18704677.460000001</v>
      </c>
      <c r="I633" s="140" t="s">
        <v>112</v>
      </c>
      <c r="J633" s="109">
        <f>G633-H633</f>
        <v>9.999983012676239E-4</v>
      </c>
      <c r="K633" s="85"/>
      <c r="L633" s="88"/>
      <c r="M633" s="8"/>
    </row>
    <row r="634" spans="1:13" s="3" customFormat="1" ht="12.2" customHeight="1" x14ac:dyDescent="0.15">
      <c r="A634" s="22"/>
      <c r="B634" s="105"/>
      <c r="C634" s="105"/>
      <c r="D634" s="105"/>
      <c r="E634" s="105"/>
      <c r="F634" s="142" t="s">
        <v>247</v>
      </c>
      <c r="G634" s="109">
        <f>I362</f>
        <v>2136302.2799999998</v>
      </c>
      <c r="H634" s="104">
        <f>I369</f>
        <v>2136302.2799999998</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5847908.8300000001</v>
      </c>
      <c r="H635" s="104">
        <f>SUM(G472)</f>
        <v>5847908.8300000001</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626918</v>
      </c>
      <c r="H637" s="164">
        <f>SUM(J468)</f>
        <v>626918</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1560833.54</v>
      </c>
      <c r="H640" s="104">
        <f>SUM(G461)</f>
        <v>1560833.54</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1560833.54</v>
      </c>
      <c r="H642" s="104">
        <f>SUM(I461)</f>
        <v>1560833.54</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60140</v>
      </c>
      <c r="H644" s="104">
        <f>H408</f>
        <v>60140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566778</v>
      </c>
      <c r="H645" s="104">
        <f>G408</f>
        <v>566778</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626918</v>
      </c>
      <c r="H646" s="104">
        <f>L408</f>
        <v>626918</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6058517.8499999996</v>
      </c>
      <c r="H647" s="104">
        <f>L208+L226+L244</f>
        <v>6058517.8499999996</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725648.2</v>
      </c>
      <c r="H648" s="104">
        <f>(J257+J338)-(J255+J336)</f>
        <v>725648.20000000007</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2359083.38</v>
      </c>
      <c r="H649" s="104">
        <f>H598</f>
        <v>2359083.38</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2278510.5299999998</v>
      </c>
      <c r="H650" s="104">
        <f>I598</f>
        <v>2278510.5300000003</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1420923.94</v>
      </c>
      <c r="H651" s="104">
        <f>J598</f>
        <v>1420923.9399999997</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566778</v>
      </c>
      <c r="H655" s="104">
        <f>K266+K347</f>
        <v>566778</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1.0000467300415039E-3</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80070810.870000005</v>
      </c>
      <c r="G660" s="19">
        <f>(L229+L309+L359)</f>
        <v>42967236.570999995</v>
      </c>
      <c r="H660" s="19">
        <f>(L247+L328+L360)</f>
        <v>58477819.280000009</v>
      </c>
      <c r="I660" s="19">
        <f>SUM(F660:H660)</f>
        <v>181515866.72100002</v>
      </c>
      <c r="J660" s="13"/>
      <c r="K660" s="13"/>
      <c r="L660" s="13"/>
      <c r="M660" s="9"/>
    </row>
    <row r="661" spans="1:13" s="3" customFormat="1" ht="12.2" customHeight="1" x14ac:dyDescent="0.2">
      <c r="A661" s="1" t="s">
        <v>127</v>
      </c>
      <c r="F661" s="19">
        <f>(L358/IF(SUM(L358:L360)=0,1,SUM(L358:L360))*(SUM(G97:G110)))</f>
        <v>422758.110961003</v>
      </c>
      <c r="G661" s="19">
        <f>(L359/IF(SUM(L358:L360)=0,1,SUM(L358:L360))*(SUM(G97:G110)))</f>
        <v>299607.21865228663</v>
      </c>
      <c r="H661" s="19">
        <f>(L360/IF(SUM(L358:L360)=0,1,SUM(L358:L360))*(SUM(G97:G110)))</f>
        <v>385678.19038671028</v>
      </c>
      <c r="I661" s="19">
        <f>SUM(F661:H661)</f>
        <v>1108043.5199999998</v>
      </c>
      <c r="J661"/>
      <c r="K661" s="13"/>
      <c r="L661" s="13"/>
      <c r="M661" s="9"/>
    </row>
    <row r="662" spans="1:13" s="3" customFormat="1" ht="12.2" customHeight="1" x14ac:dyDescent="0.2">
      <c r="A662" s="1" t="s">
        <v>128</v>
      </c>
      <c r="F662" s="19">
        <f>(L208+L287)-(J208+J287)</f>
        <v>2359083.38</v>
      </c>
      <c r="G662" s="19">
        <f>(L226+L306)-(J226+J306)</f>
        <v>2278510.5299999998</v>
      </c>
      <c r="H662" s="19">
        <f>(L244+L325)-(J244+J325)</f>
        <v>1420923.94</v>
      </c>
      <c r="I662" s="19">
        <f>SUM(F662:H662)</f>
        <v>6058517.8499999996</v>
      </c>
      <c r="J662"/>
      <c r="K662" s="13"/>
      <c r="L662" s="13"/>
      <c r="M662" s="8"/>
    </row>
    <row r="663" spans="1:13" s="3" customFormat="1" ht="12.2" customHeight="1" x14ac:dyDescent="0.15">
      <c r="A663" s="198" t="s">
        <v>129</v>
      </c>
      <c r="B663" s="169"/>
      <c r="C663" s="169"/>
      <c r="D663" s="169"/>
      <c r="E663" s="169"/>
      <c r="F663" s="199">
        <f>SUM(F575:F587)+SUM(H602:H604)+SUM(L611)</f>
        <v>2200673.9499999997</v>
      </c>
      <c r="G663" s="199">
        <f>SUM(G575:G587)+SUM(I602:I604)+L612</f>
        <v>3072861.34</v>
      </c>
      <c r="H663" s="199">
        <f>SUM(H575:H587)+SUM(J602:J604)+L613</f>
        <v>4703337.42</v>
      </c>
      <c r="I663" s="19">
        <f>SUM(F663:H663)</f>
        <v>9976872.709999999</v>
      </c>
      <c r="J663" s="13"/>
      <c r="K663" s="13"/>
      <c r="L663" s="13"/>
      <c r="M663" s="9"/>
    </row>
    <row r="664" spans="1:13" s="3" customFormat="1" ht="12.2" customHeight="1" x14ac:dyDescent="0.15">
      <c r="A664" s="1" t="s">
        <v>130</v>
      </c>
      <c r="F664" s="19">
        <f>F660-SUM(F661:F663)</f>
        <v>75088295.429039001</v>
      </c>
      <c r="G664" s="19">
        <f>G660-SUM(G661:G663)</f>
        <v>37316257.482347712</v>
      </c>
      <c r="H664" s="19">
        <f>H660-SUM(H661:H663)</f>
        <v>51967879.729613297</v>
      </c>
      <c r="I664" s="19">
        <f>I660-SUM(I661:I663)</f>
        <v>164372432.64100003</v>
      </c>
      <c r="J664" s="13"/>
      <c r="K664" s="13"/>
      <c r="L664" s="13"/>
      <c r="M664" s="9"/>
    </row>
    <row r="665" spans="1:13" s="3" customFormat="1" ht="12.2" customHeight="1" x14ac:dyDescent="0.2">
      <c r="A665" s="1" t="s">
        <v>131</v>
      </c>
      <c r="F665" s="246">
        <v>6429.72</v>
      </c>
      <c r="G665" s="247">
        <v>2914.18</v>
      </c>
      <c r="H665" s="247">
        <v>3844.75</v>
      </c>
      <c r="I665" s="19">
        <f>SUM(F665:H665)</f>
        <v>13188.65</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11678.31</v>
      </c>
      <c r="G667" s="19">
        <f>ROUND(G664/G665,2)</f>
        <v>12805.06</v>
      </c>
      <c r="H667" s="19">
        <f>ROUND(H664/H665,2)</f>
        <v>13516.58</v>
      </c>
      <c r="I667" s="19">
        <f>ROUND(I664/I665,2)</f>
        <v>12463.17</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78.61</v>
      </c>
      <c r="I670" s="19">
        <f>SUM(F670:H670)</f>
        <v>78.61</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11678.31</v>
      </c>
      <c r="G672" s="19">
        <f>ROUND((G664+G669)/(G665+G670),2)</f>
        <v>12805.06</v>
      </c>
      <c r="H672" s="19">
        <f>ROUND((H664+H669)/(H665+H670),2)</f>
        <v>13245.76</v>
      </c>
      <c r="I672" s="19">
        <f>ROUND((I664+I669)/(I665+I670),2)</f>
        <v>12389.33</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 sqref="B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Manchester SD</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46501173.349999994</v>
      </c>
      <c r="C9" s="229">
        <f>'DOE25'!G197+'DOE25'!G215+'DOE25'!G233+'DOE25'!G276+'DOE25'!G295+'DOE25'!G314</f>
        <v>22343250.27</v>
      </c>
    </row>
    <row r="10" spans="1:3" x14ac:dyDescent="0.2">
      <c r="A10" t="s">
        <v>775</v>
      </c>
      <c r="B10" s="240">
        <f>46501173.35-34167.22</f>
        <v>46467006.130000003</v>
      </c>
      <c r="C10" s="240">
        <f>22343250.27-17083.61</f>
        <v>22326166.66</v>
      </c>
    </row>
    <row r="11" spans="1:3" x14ac:dyDescent="0.2">
      <c r="A11" t="s">
        <v>776</v>
      </c>
      <c r="B11" s="240">
        <v>34167.22</v>
      </c>
      <c r="C11" s="240">
        <v>17083.61</v>
      </c>
    </row>
    <row r="12" spans="1:3" x14ac:dyDescent="0.2">
      <c r="A12" t="s">
        <v>777</v>
      </c>
      <c r="B12" s="240"/>
      <c r="C12" s="240"/>
    </row>
    <row r="13" spans="1:3" x14ac:dyDescent="0.2">
      <c r="A13" t="str">
        <f>IF(B9=B13,IF(C9=C13,"Check Total OK","Check Total Error"),"Check Total Error")</f>
        <v>Check Total OK</v>
      </c>
      <c r="B13" s="231">
        <f>SUM(B10:B12)</f>
        <v>46501173.350000001</v>
      </c>
      <c r="C13" s="231">
        <f>SUM(C10:C12)</f>
        <v>22343250.27</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24282405.169999998</v>
      </c>
      <c r="C18" s="229">
        <f>'DOE25'!G198+'DOE25'!G216+'DOE25'!G234+'DOE25'!G277+'DOE25'!G296+'DOE25'!G315</f>
        <v>14138617.640000001</v>
      </c>
    </row>
    <row r="19" spans="1:3" x14ac:dyDescent="0.2">
      <c r="A19" t="s">
        <v>775</v>
      </c>
      <c r="B19" s="240">
        <f>24282405.17-4199456.86-192927.63</f>
        <v>19890020.680000003</v>
      </c>
      <c r="C19" s="240">
        <f>B19*0.44-10192.54</f>
        <v>8741416.5592000019</v>
      </c>
    </row>
    <row r="20" spans="1:3" x14ac:dyDescent="0.2">
      <c r="A20" t="s">
        <v>776</v>
      </c>
      <c r="B20" s="240">
        <v>4199456.8600000003</v>
      </c>
      <c r="C20" s="240">
        <f>B20*1.265</f>
        <v>5312312.9279000005</v>
      </c>
    </row>
    <row r="21" spans="1:3" x14ac:dyDescent="0.2">
      <c r="A21" t="s">
        <v>777</v>
      </c>
      <c r="B21" s="240">
        <v>192927.63</v>
      </c>
      <c r="C21" s="240">
        <f>B21*0.44</f>
        <v>84888.157200000001</v>
      </c>
    </row>
    <row r="22" spans="1:3" x14ac:dyDescent="0.2">
      <c r="A22" t="str">
        <f>IF(B18=B22,IF(C18=C22,"Check Total OK","Check Total Error"),"Check Total Error")</f>
        <v>Check Total Error</v>
      </c>
      <c r="B22" s="231">
        <f>SUM(B19:B21)</f>
        <v>24282405.170000002</v>
      </c>
      <c r="C22" s="231">
        <f>SUM(C19:C21)</f>
        <v>14138617.644300001</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2032421.1</v>
      </c>
      <c r="C27" s="234">
        <f>'DOE25'!G199+'DOE25'!G217+'DOE25'!G235+'DOE25'!G278+'DOE25'!G297+'DOE25'!G316</f>
        <v>1016549.2</v>
      </c>
    </row>
    <row r="28" spans="1:3" x14ac:dyDescent="0.2">
      <c r="A28" t="s">
        <v>775</v>
      </c>
      <c r="B28" s="240">
        <v>2032421.1</v>
      </c>
      <c r="C28" s="240">
        <v>1016549.2</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2032421.1</v>
      </c>
      <c r="C31" s="231">
        <f>SUM(C28:C30)</f>
        <v>1016549.2</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1798224.3800000001</v>
      </c>
      <c r="C36" s="235">
        <f>'DOE25'!G200+'DOE25'!G218+'DOE25'!G236+'DOE25'!G279+'DOE25'!G298+'DOE25'!G317</f>
        <v>452931.56000000011</v>
      </c>
    </row>
    <row r="37" spans="1:3" x14ac:dyDescent="0.2">
      <c r="A37" t="s">
        <v>775</v>
      </c>
      <c r="B37" s="240"/>
      <c r="C37" s="240"/>
    </row>
    <row r="38" spans="1:3" x14ac:dyDescent="0.2">
      <c r="A38" t="s">
        <v>776</v>
      </c>
      <c r="B38" s="240"/>
      <c r="C38" s="240"/>
    </row>
    <row r="39" spans="1:3" x14ac:dyDescent="0.2">
      <c r="A39" t="s">
        <v>777</v>
      </c>
      <c r="B39" s="240">
        <v>1798224.38</v>
      </c>
      <c r="C39" s="240">
        <v>452931.56</v>
      </c>
    </row>
    <row r="40" spans="1:3" x14ac:dyDescent="0.2">
      <c r="A40" t="str">
        <f>IF(B36=B40,IF(C36=C40,"Check Total OK","Check Total Error"),"Check Total Error")</f>
        <v>Check Total OK</v>
      </c>
      <c r="B40" s="231">
        <f>SUM(B37:B39)</f>
        <v>1798224.38</v>
      </c>
      <c r="C40" s="231">
        <f>SUM(C37:C39)</f>
        <v>452931.56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30" zoomScaleNormal="13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Manchester SD</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110542267.97</v>
      </c>
      <c r="D5" s="20">
        <f>SUM('DOE25'!L197:L200)+SUM('DOE25'!L215:L218)+SUM('DOE25'!L233:L236)-F5-G5-H5</f>
        <v>109229218.43000001</v>
      </c>
      <c r="E5" s="243"/>
      <c r="F5" s="244">
        <f>1558448-555654</f>
        <v>1002794</v>
      </c>
      <c r="G5" s="53">
        <f>SUM('DOE25'!J197:J200)+SUM('DOE25'!J215:J218)+SUM('DOE25'!J233:J236)</f>
        <v>72908.77</v>
      </c>
      <c r="H5" s="53">
        <f>SUM('DOE25'!K197:K200)+SUM('DOE25'!K215:K218)+SUM('DOE25'!K233:K236)</f>
        <v>237346.77</v>
      </c>
      <c r="I5" s="256"/>
    </row>
    <row r="6" spans="1:9" x14ac:dyDescent="0.2">
      <c r="A6" s="32">
        <v>2100</v>
      </c>
      <c r="B6" t="s">
        <v>796</v>
      </c>
      <c r="C6" s="276">
        <f t="shared" si="0"/>
        <v>13461891.210000001</v>
      </c>
      <c r="D6" s="20">
        <f>'DOE25'!L202+'DOE25'!L220+'DOE25'!L238-F6-G6-H6</f>
        <v>10379309.74</v>
      </c>
      <c r="E6" s="243"/>
      <c r="F6" s="244">
        <f>1980282.57-994346</f>
        <v>985936.57000000007</v>
      </c>
      <c r="G6" s="53">
        <f>'DOE25'!J202+'DOE25'!J220+'DOE25'!J238</f>
        <v>0</v>
      </c>
      <c r="H6" s="53">
        <f>'DOE25'!K202+'DOE25'!K220+'DOE25'!K238</f>
        <v>2096644.9000000001</v>
      </c>
      <c r="I6" s="256"/>
    </row>
    <row r="7" spans="1:9" x14ac:dyDescent="0.2">
      <c r="A7" s="32">
        <v>2200</v>
      </c>
      <c r="B7" t="s">
        <v>821</v>
      </c>
      <c r="C7" s="276">
        <f t="shared" si="0"/>
        <v>2684183.13</v>
      </c>
      <c r="D7" s="20">
        <f>'DOE25'!L203+'DOE25'!L221+'DOE25'!L239-F7-G7-H7</f>
        <v>2684181.1399999997</v>
      </c>
      <c r="E7" s="243"/>
      <c r="F7" s="244"/>
      <c r="G7" s="53">
        <f>'DOE25'!J203+'DOE25'!J221+'DOE25'!J239</f>
        <v>1.9900000000000091</v>
      </c>
      <c r="H7" s="53">
        <f>'DOE25'!K203+'DOE25'!K221+'DOE25'!K239</f>
        <v>0</v>
      </c>
      <c r="I7" s="256"/>
    </row>
    <row r="8" spans="1:9" x14ac:dyDescent="0.2">
      <c r="A8" s="32">
        <v>2300</v>
      </c>
      <c r="B8" t="s">
        <v>797</v>
      </c>
      <c r="C8" s="276">
        <f t="shared" si="0"/>
        <v>570075.98</v>
      </c>
      <c r="D8" s="243"/>
      <c r="E8" s="20">
        <f>'DOE25'!L204+'DOE25'!L222+'DOE25'!L240-F8-G8-H8-D9-D11</f>
        <v>509439.91999999993</v>
      </c>
      <c r="F8" s="244">
        <f>75000-25000</f>
        <v>50000</v>
      </c>
      <c r="G8" s="53">
        <f>'DOE25'!J204+'DOE25'!J222+'DOE25'!J240</f>
        <v>0</v>
      </c>
      <c r="H8" s="53">
        <f>'DOE25'!K204+'DOE25'!K222+'DOE25'!K240</f>
        <v>10636.060000000001</v>
      </c>
      <c r="I8" s="256"/>
    </row>
    <row r="9" spans="1:9" ht="14.25" x14ac:dyDescent="0.2">
      <c r="A9" s="32">
        <v>2310</v>
      </c>
      <c r="B9" s="185" t="s">
        <v>890</v>
      </c>
      <c r="C9" s="276">
        <f t="shared" si="0"/>
        <v>565225.78</v>
      </c>
      <c r="D9" s="244">
        <v>565225.78</v>
      </c>
      <c r="E9" s="243"/>
      <c r="F9" s="253"/>
      <c r="G9" s="253"/>
      <c r="H9" s="253"/>
      <c r="I9" s="256"/>
    </row>
    <row r="10" spans="1:9" ht="14.25" x14ac:dyDescent="0.2">
      <c r="A10" s="32">
        <v>2317</v>
      </c>
      <c r="B10" s="185" t="s">
        <v>891</v>
      </c>
      <c r="C10" s="276">
        <f t="shared" si="0"/>
        <v>86992</v>
      </c>
      <c r="D10" s="243"/>
      <c r="E10" s="244">
        <v>86992</v>
      </c>
      <c r="F10" s="253"/>
      <c r="G10" s="253"/>
      <c r="H10" s="253"/>
      <c r="I10" s="256"/>
    </row>
    <row r="11" spans="1:9" ht="14.25" x14ac:dyDescent="0.2">
      <c r="A11" s="32">
        <v>2321</v>
      </c>
      <c r="B11" s="185" t="s">
        <v>892</v>
      </c>
      <c r="C11" s="276">
        <f t="shared" si="0"/>
        <v>790525.27</v>
      </c>
      <c r="D11" s="244">
        <v>790525.27</v>
      </c>
      <c r="E11" s="243"/>
      <c r="F11" s="253"/>
      <c r="G11" s="253"/>
      <c r="H11" s="253"/>
      <c r="I11" s="256"/>
    </row>
    <row r="12" spans="1:9" x14ac:dyDescent="0.2">
      <c r="A12" s="32">
        <v>2400</v>
      </c>
      <c r="B12" t="s">
        <v>711</v>
      </c>
      <c r="C12" s="276">
        <f t="shared" si="0"/>
        <v>10035192.640000001</v>
      </c>
      <c r="D12" s="20">
        <f>'DOE25'!L205+'DOE25'!L223+'DOE25'!L241-F12-G12-H12</f>
        <v>10013628.83</v>
      </c>
      <c r="E12" s="243"/>
      <c r="F12" s="244"/>
      <c r="G12" s="53">
        <f>'DOE25'!J205+'DOE25'!J223+'DOE25'!J241</f>
        <v>0</v>
      </c>
      <c r="H12" s="53">
        <f>'DOE25'!K205+'DOE25'!K223+'DOE25'!K241</f>
        <v>21563.81</v>
      </c>
      <c r="I12" s="256"/>
    </row>
    <row r="13" spans="1:9" x14ac:dyDescent="0.2">
      <c r="A13" s="32">
        <v>2500</v>
      </c>
      <c r="B13" t="s">
        <v>798</v>
      </c>
      <c r="C13" s="276">
        <f t="shared" si="0"/>
        <v>1347236.7</v>
      </c>
      <c r="D13" s="243"/>
      <c r="E13" s="20">
        <f>'DOE25'!L206+'DOE25'!L224+'DOE25'!L242-F13-G13-H13</f>
        <v>1153599.7</v>
      </c>
      <c r="F13" s="244">
        <f>86992-25000</f>
        <v>61992</v>
      </c>
      <c r="G13" s="53">
        <f>'DOE25'!J206+'DOE25'!J224+'DOE25'!J242</f>
        <v>0</v>
      </c>
      <c r="H13" s="53">
        <f>'DOE25'!K206+'DOE25'!K224+'DOE25'!K242</f>
        <v>131645</v>
      </c>
      <c r="I13" s="256"/>
    </row>
    <row r="14" spans="1:9" x14ac:dyDescent="0.2">
      <c r="A14" s="32">
        <v>2600</v>
      </c>
      <c r="B14" t="s">
        <v>819</v>
      </c>
      <c r="C14" s="276">
        <f t="shared" si="0"/>
        <v>9681874.5299999993</v>
      </c>
      <c r="D14" s="20">
        <f>'DOE25'!L207+'DOE25'!L225+'DOE25'!L243-F14-G14-H14</f>
        <v>9456064.5</v>
      </c>
      <c r="E14" s="243"/>
      <c r="F14" s="244">
        <f>325575.03-100000</f>
        <v>225575.03000000003</v>
      </c>
      <c r="G14" s="53">
        <f>'DOE25'!J207+'DOE25'!J225+'DOE25'!J243</f>
        <v>0</v>
      </c>
      <c r="H14" s="53">
        <f>'DOE25'!K207+'DOE25'!K225+'DOE25'!K243</f>
        <v>235</v>
      </c>
      <c r="I14" s="256"/>
    </row>
    <row r="15" spans="1:9" x14ac:dyDescent="0.2">
      <c r="A15" s="32">
        <v>2700</v>
      </c>
      <c r="B15" t="s">
        <v>799</v>
      </c>
      <c r="C15" s="276">
        <f t="shared" si="0"/>
        <v>6058517.8499999996</v>
      </c>
      <c r="D15" s="20">
        <f>'DOE25'!L208+'DOE25'!L226+'DOE25'!L244-F15-G15-H15</f>
        <v>697818.84999999963</v>
      </c>
      <c r="E15" s="243"/>
      <c r="F15" s="244">
        <f>5460699-100000</f>
        <v>5360699</v>
      </c>
      <c r="G15" s="53">
        <f>'DOE25'!J208+'DOE25'!J226+'DOE25'!J244</f>
        <v>0</v>
      </c>
      <c r="H15" s="53">
        <f>'DOE25'!K208+'DOE25'!K226+'DOE25'!K244</f>
        <v>0</v>
      </c>
      <c r="I15" s="256"/>
    </row>
    <row r="16" spans="1:9" x14ac:dyDescent="0.2">
      <c r="A16" s="32">
        <v>2800</v>
      </c>
      <c r="B16" t="s">
        <v>800</v>
      </c>
      <c r="C16" s="276">
        <f t="shared" si="0"/>
        <v>1702914.25</v>
      </c>
      <c r="D16" s="243"/>
      <c r="E16" s="20">
        <f>'DOE25'!L209+'DOE25'!L227+'DOE25'!L245-F16-G16-H16</f>
        <v>1446843.25</v>
      </c>
      <c r="F16" s="244">
        <f>304004-50000</f>
        <v>254004</v>
      </c>
      <c r="G16" s="53">
        <f>'DOE25'!J209+'DOE25'!J227+'DOE25'!J245</f>
        <v>2067</v>
      </c>
      <c r="H16" s="53">
        <f>'DOE25'!K209+'DOE25'!K227+'DOE25'!K245</f>
        <v>0</v>
      </c>
      <c r="I16" s="256"/>
    </row>
    <row r="17" spans="1:9" x14ac:dyDescent="0.2">
      <c r="A17" s="32">
        <v>1600</v>
      </c>
      <c r="B17" t="s">
        <v>801</v>
      </c>
      <c r="C17" s="276">
        <f t="shared" si="0"/>
        <v>54083.090000000004</v>
      </c>
      <c r="D17" s="20">
        <f>'DOE25'!L251-F17-G17-H17</f>
        <v>54083.090000000004</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12218767.370000001</v>
      </c>
      <c r="D25" s="243"/>
      <c r="E25" s="243"/>
      <c r="F25" s="255"/>
      <c r="G25" s="253"/>
      <c r="H25" s="253"/>
      <c r="I25" s="254">
        <f>'DOE25'!L260+'DOE25'!L261+'DOE25'!L341+'DOE25'!L342</f>
        <v>12218767.370000001</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3911344.16</v>
      </c>
      <c r="D29" s="284">
        <f>'DOE25'!L358+'DOE25'!L359+'DOE25'!L360-'DOE25'!I367-F29-G29-H29</f>
        <v>3837303.8400000003</v>
      </c>
      <c r="E29" s="243"/>
      <c r="F29" s="244"/>
      <c r="G29" s="53">
        <f>'DOE25'!J358+'DOE25'!J359+'DOE25'!J360</f>
        <v>24040.310000000005</v>
      </c>
      <c r="H29" s="53">
        <f>'DOE25'!K358+'DOE25'!K359+'DOE25'!K360</f>
        <v>50000.009999999995</v>
      </c>
      <c r="I29" s="256"/>
    </row>
    <row r="30" spans="1:9" x14ac:dyDescent="0.2">
      <c r="A30" s="32"/>
      <c r="C30" s="277"/>
      <c r="D30" s="20"/>
      <c r="E30" s="281"/>
      <c r="F30" s="271"/>
      <c r="G30" s="53"/>
      <c r="H30" s="53"/>
      <c r="I30" s="256"/>
    </row>
    <row r="31" spans="1:9" x14ac:dyDescent="0.2">
      <c r="A31" s="32" t="s">
        <v>818</v>
      </c>
      <c r="B31" t="s">
        <v>817</v>
      </c>
      <c r="C31" s="276">
        <f>SUM(D31:I31)</f>
        <v>18517312.471000001</v>
      </c>
      <c r="D31" s="20">
        <f>'DOE25'!L290+'DOE25'!L309+'DOE25'!L328+'DOE25'!L333+'DOE25'!L334+'DOE25'!L335-F31-G31-H31</f>
        <v>17761571.421</v>
      </c>
      <c r="E31" s="243"/>
      <c r="F31" s="244"/>
      <c r="G31" s="53">
        <f>'DOE25'!J290+'DOE25'!J309+'DOE25'!J328+'DOE25'!J333+'DOE25'!J334+'DOE25'!J335</f>
        <v>648838.44000000006</v>
      </c>
      <c r="H31" s="53">
        <f>'DOE25'!K290+'DOE25'!K309+'DOE25'!K328+'DOE25'!K333+'DOE25'!K334+'DOE25'!K335</f>
        <v>106902.61</v>
      </c>
      <c r="I31" s="256"/>
    </row>
    <row r="32" spans="1:9" ht="12" thickBot="1" x14ac:dyDescent="0.25">
      <c r="C32" s="277"/>
      <c r="G32" s="251"/>
      <c r="H32" s="251"/>
      <c r="I32" s="258"/>
    </row>
    <row r="33" spans="1:9" ht="12" thickTop="1" x14ac:dyDescent="0.2">
      <c r="B33" t="s">
        <v>809</v>
      </c>
      <c r="D33" s="245">
        <f t="shared" ref="D33:I33" si="1">SUM(D5:D31)</f>
        <v>165468930.891</v>
      </c>
      <c r="E33" s="245">
        <f t="shared" si="1"/>
        <v>3196874.87</v>
      </c>
      <c r="F33" s="245">
        <f t="shared" si="1"/>
        <v>7941000.6000000006</v>
      </c>
      <c r="G33" s="245">
        <f t="shared" si="1"/>
        <v>747856.51</v>
      </c>
      <c r="H33" s="245">
        <f t="shared" si="1"/>
        <v>2654974.1599999997</v>
      </c>
      <c r="I33" s="245">
        <f t="shared" si="1"/>
        <v>12218767.370000001</v>
      </c>
    </row>
    <row r="35" spans="1:9" ht="12" thickBot="1" x14ac:dyDescent="0.25">
      <c r="B35" s="251" t="s">
        <v>831</v>
      </c>
      <c r="D35" s="252">
        <f>E33</f>
        <v>3196874.87</v>
      </c>
      <c r="E35" s="248"/>
    </row>
    <row r="36" spans="1:9" ht="12" thickTop="1" x14ac:dyDescent="0.2">
      <c r="B36" t="s">
        <v>810</v>
      </c>
      <c r="D36" s="20">
        <f>D33</f>
        <v>165468930.891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9" sqref="E9"/>
    </sheetView>
  </sheetViews>
  <sheetFormatPr defaultRowHeight="11.25" x14ac:dyDescent="0.2"/>
  <cols>
    <col min="1" max="1" width="35.6640625" customWidth="1"/>
    <col min="2" max="2" width="22.33203125" customWidth="1"/>
    <col min="3" max="3" width="22" customWidth="1"/>
    <col min="4" max="5" width="14.6640625" customWidth="1"/>
    <col min="6" max="6" width="16.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Manchester SD</v>
      </c>
      <c r="B2" s="126">
        <f>'DOE25'!B2</f>
        <v>335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77839625.140735596</v>
      </c>
      <c r="G4" s="303">
        <f>'DOE25'!L211+'DOE25'!L290</f>
        <v>77839625.140000001</v>
      </c>
      <c r="H4" s="304">
        <f>F4-G4</f>
        <v>7.3559582233428955E-4</v>
      </c>
      <c r="I4" s="310" t="str">
        <f>IF(H4=0,"","Does not match DOE25 page 7 and 11 Totals!!")</f>
        <v>Does not match DOE25 page 7 and 11 Totals!!</v>
      </c>
      <c r="N4"/>
    </row>
    <row r="5" spans="1:18" x14ac:dyDescent="0.2">
      <c r="A5" s="21" t="s">
        <v>1234</v>
      </c>
      <c r="B5" s="305">
        <f>IFERROR(VLOOKUP(A5,'School Tables'!$C$3:$D$368,2,FALSE),"")</f>
        <v>21545</v>
      </c>
      <c r="C5" s="297" t="str">
        <f>IFERROR(INDEX('School Tables'!$B$3:$B$368,MATCH('School Level Expenditures'!B5,'School Tables'!$D$3:$D$368,0)),"")</f>
        <v>Manchester</v>
      </c>
      <c r="D5" s="294">
        <f>330231.98+3262836.46+7960+1990+495149+34638</f>
        <v>4132805.44</v>
      </c>
      <c r="E5" s="294">
        <f>30249.85+37769.28+422217.47+57769.45+483479.31+65441.96+1413.61+36529.55+77892.33+27870.56+139331</f>
        <v>1379964.37</v>
      </c>
      <c r="F5" s="313">
        <f>D5+E5</f>
        <v>5512769.8100000005</v>
      </c>
      <c r="G5" s="297"/>
      <c r="H5" s="297"/>
      <c r="I5" s="126"/>
      <c r="N5"/>
    </row>
    <row r="6" spans="1:18" x14ac:dyDescent="0.2">
      <c r="A6" s="21" t="s">
        <v>1240</v>
      </c>
      <c r="B6" s="305">
        <f>IFERROR(VLOOKUP(A6,'School Tables'!$C$3:$D$368,2,FALSE),"")</f>
        <v>21600</v>
      </c>
      <c r="C6" s="297" t="str">
        <f>IFERROR(INDEX('School Tables'!$B$3:$B$368,MATCH('School Level Expenditures'!B6,'School Tables'!$D$3:$D$368,0)),"")</f>
        <v>Manchester</v>
      </c>
      <c r="D6" s="294">
        <f>4773800.84+716198+50101</f>
        <v>5540099.8399999999</v>
      </c>
      <c r="E6" s="294">
        <f>864475.1+630619.97+6324.92+1035.91+46585.36+76447.3+42182.56+201533</f>
        <v>1869204.1199999999</v>
      </c>
      <c r="F6" s="308">
        <f t="shared" ref="F6:F20" si="0">D6+E6</f>
        <v>7409303.96</v>
      </c>
      <c r="G6" s="297"/>
      <c r="H6" s="297"/>
      <c r="I6" s="126"/>
      <c r="N6"/>
    </row>
    <row r="7" spans="1:18" x14ac:dyDescent="0.2">
      <c r="A7" s="21" t="s">
        <v>1232</v>
      </c>
      <c r="B7" s="305">
        <f>IFERROR(VLOOKUP(A7,'School Tables'!$C$3:$D$368,2,FALSE),"")</f>
        <v>21530</v>
      </c>
      <c r="C7" s="297" t="str">
        <f>IFERROR(INDEX('School Tables'!$B$3:$B$368,MATCH('School Level Expenditures'!B7,'School Tables'!$D$3:$D$368,0)),"")</f>
        <v>Manchester</v>
      </c>
      <c r="D7" s="294">
        <f>3367252.48+574727+40205</f>
        <v>3982184.48</v>
      </c>
      <c r="E7" s="294">
        <f>35251.87+351546.34+10204.04+1249.95+185629.73+63960.84+5000+33568.51+161724</f>
        <v>848135.28</v>
      </c>
      <c r="F7" s="308">
        <f t="shared" si="0"/>
        <v>4830319.76</v>
      </c>
      <c r="G7" s="297"/>
      <c r="H7" s="297"/>
      <c r="I7" s="126"/>
      <c r="N7"/>
    </row>
    <row r="8" spans="1:18" x14ac:dyDescent="0.2">
      <c r="A8" s="21" t="s">
        <v>1242</v>
      </c>
      <c r="B8" s="305">
        <f>IFERROR(VLOOKUP(A8,'School Tables'!$C$3:$D$368,2,FALSE),"")</f>
        <v>21610</v>
      </c>
      <c r="C8" s="297" t="str">
        <f>IFERROR(INDEX('School Tables'!$B$3:$B$368,MATCH('School Level Expenditures'!B8,'School Tables'!$D$3:$D$368,0)),"")</f>
        <v>Manchester</v>
      </c>
      <c r="D8" s="294">
        <f>4107879.14+1060+581043+40646</f>
        <v>4730628.1400000006</v>
      </c>
      <c r="E8" s="294">
        <f>38604.08+365141.54+105623.63+47172.59+163501</f>
        <v>720042.84</v>
      </c>
      <c r="F8" s="308">
        <f t="shared" si="0"/>
        <v>5450670.9800000004</v>
      </c>
      <c r="G8" s="297"/>
      <c r="H8" s="297"/>
      <c r="I8" s="126"/>
      <c r="N8"/>
    </row>
    <row r="9" spans="1:18" x14ac:dyDescent="0.2">
      <c r="A9" s="21" t="s">
        <v>1243</v>
      </c>
      <c r="B9" s="305">
        <f>IFERROR(VLOOKUP(A9,'School Tables'!$C$3:$D$368,2,FALSE),"")</f>
        <v>21625</v>
      </c>
      <c r="C9" s="297" t="str">
        <f>IFERROR(INDEX('School Tables'!$B$3:$B$368,MATCH('School Level Expenditures'!B9,'School Tables'!$D$3:$D$368,0)),"")</f>
        <v>Manchester</v>
      </c>
      <c r="D9" s="294">
        <f>2297598.87+348626+24388</f>
        <v>2670612.87</v>
      </c>
      <c r="E9" s="294">
        <f>24575.81+199925.66+1189.65+107094.66+54816.7+20219.67+98101</f>
        <v>505923.15</v>
      </c>
      <c r="F9" s="308">
        <f t="shared" si="0"/>
        <v>3176536.02</v>
      </c>
      <c r="G9" s="297"/>
      <c r="H9" s="297"/>
      <c r="I9" s="126"/>
      <c r="N9"/>
    </row>
    <row r="10" spans="1:18" x14ac:dyDescent="0.2">
      <c r="A10" s="21" t="s">
        <v>1236</v>
      </c>
      <c r="B10" s="305">
        <f>IFERROR(VLOOKUP(A10,'School Tables'!$C$3:$D$368,2,FALSE),"")</f>
        <v>21560</v>
      </c>
      <c r="C10" s="297" t="str">
        <f>IFERROR(INDEX('School Tables'!$B$3:$B$368,MATCH('School Level Expenditures'!B10,'School Tables'!$D$3:$D$368,0)),"")</f>
        <v>Manchester</v>
      </c>
      <c r="D10" s="294">
        <f>4325624.69+6017.46+4424.36+535570+37465</f>
        <v>4909101.5100000007</v>
      </c>
      <c r="E10" s="294">
        <f>13426.32+150989.19+134+97711.89+32208.13+150705</f>
        <v>445174.53</v>
      </c>
      <c r="F10" s="308">
        <f t="shared" si="0"/>
        <v>5354276.040000001</v>
      </c>
      <c r="G10" s="297"/>
      <c r="H10" s="297"/>
      <c r="I10" s="126"/>
      <c r="N10"/>
    </row>
    <row r="11" spans="1:18" x14ac:dyDescent="0.2">
      <c r="A11" s="21" t="s">
        <v>1239</v>
      </c>
      <c r="B11" s="305">
        <f>IFERROR(VLOOKUP(A11,'School Tables'!$C$3:$D$368,2,FALSE),"")</f>
        <v>21590</v>
      </c>
      <c r="C11" s="297" t="str">
        <f>IFERROR(INDEX('School Tables'!$B$3:$B$368,MATCH('School Level Expenditures'!B11,'School Tables'!$D$3:$D$368,0)),"")</f>
        <v>Manchester</v>
      </c>
      <c r="D11" s="294">
        <f>4058126.54+539359+37730</f>
        <v>4635215.54</v>
      </c>
      <c r="E11" s="294">
        <f>7210.82+142112.08+89180.97+102519.51+14606.44+500+32831.92+151772</f>
        <v>540733.74</v>
      </c>
      <c r="F11" s="308">
        <f t="shared" si="0"/>
        <v>5175949.28</v>
      </c>
      <c r="G11" s="297"/>
      <c r="H11" s="297"/>
      <c r="I11" s="126"/>
      <c r="N11"/>
    </row>
    <row r="12" spans="1:18" x14ac:dyDescent="0.2">
      <c r="A12" s="21" t="s">
        <v>1237</v>
      </c>
      <c r="B12" s="305">
        <f>IFERROR(VLOOKUP(A12,'School Tables'!$C$3:$D$368,2,FALSE),"")</f>
        <v>21565</v>
      </c>
      <c r="C12" s="297" t="str">
        <f>IFERROR(INDEX('School Tables'!$B$3:$B$368,MATCH('School Level Expenditures'!B12,'School Tables'!$D$3:$D$368,0)),"")</f>
        <v>Manchester</v>
      </c>
      <c r="D12" s="294">
        <f>4604393.21+1000+642936+44976</f>
        <v>5293305.21</v>
      </c>
      <c r="E12" s="294">
        <f>75238.31+475884.06+90701.81+1035.87+119311.27+60695.71+37677.92+180917</f>
        <v>1041461.95</v>
      </c>
      <c r="F12" s="308">
        <f t="shared" si="0"/>
        <v>6334767.1600000001</v>
      </c>
      <c r="G12" s="297"/>
      <c r="H12" s="297"/>
      <c r="I12" s="126"/>
      <c r="N12"/>
    </row>
    <row r="13" spans="1:18" x14ac:dyDescent="0.2">
      <c r="A13" s="21" t="s">
        <v>1247</v>
      </c>
      <c r="B13" s="305">
        <f>IFERROR(VLOOKUP(A13,'School Tables'!$C$3:$D$368,2,FALSE),"")</f>
        <v>26435</v>
      </c>
      <c r="C13" s="297" t="str">
        <f>IFERROR(INDEX('School Tables'!$B$3:$B$368,MATCH('School Level Expenditures'!B13,'School Tables'!$D$3:$D$368,0)),"")</f>
        <v>Manchester</v>
      </c>
      <c r="D13" s="294">
        <f>4755025.58+870301+60881</f>
        <v>5686207.5800000001</v>
      </c>
      <c r="E13" s="294">
        <f>76770.02+550637.66+90372.28+83713.75+43692.48+52864.44+244896</f>
        <v>1142946.6300000001</v>
      </c>
      <c r="F13" s="308">
        <f t="shared" si="0"/>
        <v>6829154.21</v>
      </c>
      <c r="G13" s="297"/>
      <c r="H13" s="297"/>
      <c r="I13" s="126"/>
      <c r="N13"/>
    </row>
    <row r="14" spans="1:18" x14ac:dyDescent="0.2">
      <c r="A14" s="21" t="s">
        <v>1233</v>
      </c>
      <c r="B14" s="305">
        <f>IFERROR(VLOOKUP(A14,'School Tables'!$C$3:$D$368,2,FALSE),"")</f>
        <v>21540</v>
      </c>
      <c r="C14" s="297" t="str">
        <f>IFERROR(INDEX('School Tables'!$B$3:$B$368,MATCH('School Level Expenditures'!B14,'School Tables'!$D$3:$D$368,0)),"")</f>
        <v>Manchester</v>
      </c>
      <c r="D14" s="294">
        <f>4197480.91+1652.3707356+49482</f>
        <v>4248615.2807355998</v>
      </c>
      <c r="E14" s="294">
        <f>240184.74+562825.57+250+119142.18+923.6+48247.85+42248.84+199045</f>
        <v>1212867.7799999998</v>
      </c>
      <c r="F14" s="308">
        <f t="shared" si="0"/>
        <v>5461483.0607356001</v>
      </c>
      <c r="G14" s="297"/>
      <c r="H14" s="297"/>
      <c r="I14" s="126"/>
      <c r="N14"/>
    </row>
    <row r="15" spans="1:18" x14ac:dyDescent="0.2">
      <c r="A15" s="21" t="s">
        <v>1241</v>
      </c>
      <c r="B15" s="305">
        <f>IFERROR(VLOOKUP(A15,'School Tables'!$C$3:$D$368,2,FALSE),"")</f>
        <v>21605</v>
      </c>
      <c r="C15" s="297" t="str">
        <f>IFERROR(INDEX('School Tables'!$B$3:$B$368,MATCH('School Level Expenditures'!B15,'School Tables'!$D$3:$D$368,0)),"")</f>
        <v>Manchester</v>
      </c>
      <c r="D15" s="294">
        <f>4180859.79+4844.86+138.75+530517+37112</f>
        <v>4753472.4000000004</v>
      </c>
      <c r="E15" s="294">
        <f>12185.76+112013.95+1311.77+140773.36+31529.52+149283</f>
        <v>447097.36</v>
      </c>
      <c r="F15" s="308">
        <f t="shared" si="0"/>
        <v>5200569.7600000007</v>
      </c>
      <c r="G15" s="297"/>
      <c r="H15" s="297"/>
      <c r="I15" s="126"/>
      <c r="N15"/>
    </row>
    <row r="16" spans="1:18" x14ac:dyDescent="0.2">
      <c r="A16" s="21" t="s">
        <v>1244</v>
      </c>
      <c r="B16" s="305">
        <f>IFERROR(VLOOKUP(A16,'School Tables'!$C$3:$D$368,2,FALSE),"")</f>
        <v>21635</v>
      </c>
      <c r="C16" s="297" t="str">
        <f>IFERROR(INDEX('School Tables'!$B$3:$B$368,MATCH('School Level Expenditures'!B16,'School Tables'!$D$3:$D$368,0)),"")</f>
        <v>Manchester</v>
      </c>
      <c r="D16" s="294">
        <f>4065892.63+8217.88+558306+39056</f>
        <v>4671472.51</v>
      </c>
      <c r="E16" s="294">
        <f>30985.41+212157.65+127.92+126.67+130508.65+33825.92+190514+157103</f>
        <v>755349.22</v>
      </c>
      <c r="F16" s="308">
        <f t="shared" si="0"/>
        <v>5426821.7299999995</v>
      </c>
      <c r="G16" s="297"/>
      <c r="H16" s="297"/>
      <c r="I16" s="126"/>
      <c r="N16"/>
    </row>
    <row r="17" spans="1:14" x14ac:dyDescent="0.2">
      <c r="A17" s="21" t="s">
        <v>1229</v>
      </c>
      <c r="B17" s="305">
        <f>IFERROR(VLOOKUP(A17,'School Tables'!$C$3:$D$368,2,FALSE),"")</f>
        <v>21515</v>
      </c>
      <c r="C17" s="297" t="str">
        <f>IFERROR(INDEX('School Tables'!$B$3:$B$368,MATCH('School Level Expenditures'!B17,'School Tables'!$D$3:$D$368,0)),"")</f>
        <v>Manchester</v>
      </c>
      <c r="D17" s="294">
        <f>4099178.79+18415.49+6762.6+4559.36+677041+47362</f>
        <v>4853319.24</v>
      </c>
      <c r="E17" s="294">
        <f>11690.18+466387.66+111048.55+242525.89+39258.83+190514</f>
        <v>1061425.1099999999</v>
      </c>
      <c r="F17" s="308">
        <f t="shared" si="0"/>
        <v>5914744.3499999996</v>
      </c>
      <c r="G17" s="297"/>
      <c r="H17" s="297"/>
      <c r="I17" s="126"/>
      <c r="N17"/>
    </row>
    <row r="18" spans="1:14" x14ac:dyDescent="0.2">
      <c r="A18" s="21" t="s">
        <v>1245</v>
      </c>
      <c r="B18" s="305">
        <f>IFERROR(VLOOKUP(A18,'School Tables'!$C$3:$D$368,2,FALSE),"")</f>
        <v>21640</v>
      </c>
      <c r="C18" s="297" t="str">
        <f>IFERROR(INDEX('School Tables'!$B$3:$B$368,MATCH('School Level Expenditures'!B18,'School Tables'!$D$3:$D$368,0)),"")</f>
        <v>Manchester</v>
      </c>
      <c r="D18" s="294">
        <f>2872218.09+555780+38879</f>
        <v>3466877.09</v>
      </c>
      <c r="E18" s="294">
        <f>62791.86+615727.49+11901.01+1408.22+55189.66+72712.19+34152.14+156392</f>
        <v>1010274.57</v>
      </c>
      <c r="F18" s="308">
        <f t="shared" si="0"/>
        <v>4477151.66</v>
      </c>
      <c r="G18" s="297"/>
      <c r="H18" s="297"/>
      <c r="I18" s="126"/>
      <c r="N18"/>
    </row>
    <row r="19" spans="1:14" x14ac:dyDescent="0.2">
      <c r="A19" s="21" t="s">
        <v>1586</v>
      </c>
      <c r="B19" s="305">
        <f>IFERROR(VLOOKUP(A19,'School Tables'!$C$3:$D$368,2,FALSE),"")</f>
        <v>99999</v>
      </c>
      <c r="C19" s="297" t="str">
        <f>IFERROR(INDEX('School Tables'!$B$3:$B$368,MATCH('School Level Expenditures'!B19,'School Tables'!$D$3:$D$368,0)),"")</f>
        <v>Other District Expenditures</v>
      </c>
      <c r="D19" s="294">
        <f>1289866.24-100527.09+67464.78</f>
        <v>1256803.93</v>
      </c>
      <c r="E19" s="294">
        <v>28303.43</v>
      </c>
      <c r="F19" s="308">
        <f t="shared" si="0"/>
        <v>1285107.3599999999</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v>0</v>
      </c>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41386002.919999994</v>
      </c>
      <c r="G24" s="303">
        <f>'DOE25'!L229+'DOE25'!L309</f>
        <v>41386002.920999996</v>
      </c>
      <c r="H24" s="304">
        <f>F24-G24</f>
        <v>-1.0000020265579224E-3</v>
      </c>
      <c r="I24" s="310" t="str">
        <f>IF(H24=0,"","Does not match DOE25 page 8 and 12 Totals!!")</f>
        <v>Does not match DOE25 page 8 and 12 Totals!!</v>
      </c>
      <c r="N24"/>
    </row>
    <row r="25" spans="1:14" x14ac:dyDescent="0.2">
      <c r="A25" s="21" t="s">
        <v>1230</v>
      </c>
      <c r="B25" s="305">
        <f>IFERROR(VLOOKUP(A25,'School Tables'!$I$3:$J$80,2,FALSE),"")</f>
        <v>21520</v>
      </c>
      <c r="C25" s="297" t="str">
        <f t="array" ref="C25">IFERROR(INDEX('School Tables'!$H$3:$H$80,MATCH('School Level Expenditures'!B25,'School Tables'!$J$3:$J$80,0)),"")</f>
        <v>Manchester</v>
      </c>
      <c r="D25" s="294">
        <f>7925178.07+6902.22+1571126+19669</f>
        <v>9522875.2899999991</v>
      </c>
      <c r="E25" s="294">
        <f>292552.16+2492.78+379604.11+50930.88+149133</f>
        <v>874712.93</v>
      </c>
      <c r="F25" s="308">
        <f>D25+E25</f>
        <v>10397588.219999999</v>
      </c>
      <c r="G25" s="297"/>
      <c r="H25" s="297"/>
      <c r="I25" s="126"/>
      <c r="N25"/>
    </row>
    <row r="26" spans="1:14" x14ac:dyDescent="0.2">
      <c r="A26" s="21" t="s">
        <v>1246</v>
      </c>
      <c r="B26" s="305">
        <f>IFERROR(VLOOKUP(A26,'School Tables'!$I$3:$J$80,2,FALSE),"")</f>
        <v>27595</v>
      </c>
      <c r="C26" s="297" t="str">
        <f t="array" ref="C26">IFERROR(INDEX('School Tables'!$H$3:$H$80,MATCH('School Level Expenditures'!B26,'School Tables'!$J$3:$J$80,0)),"")</f>
        <v>Manchester</v>
      </c>
      <c r="D26" s="294">
        <f>7406180.23+1394179+17454</f>
        <v>8817813.2300000004</v>
      </c>
      <c r="E26" s="294">
        <f>292925.31+74212.31+929.13+262304.6+53106.84+132337</f>
        <v>815815.19</v>
      </c>
      <c r="F26" s="308">
        <f t="shared" ref="F26:F32" si="1">D26+E26</f>
        <v>9633628.4199999999</v>
      </c>
      <c r="G26" s="297"/>
      <c r="H26" s="297"/>
      <c r="I26" s="126"/>
      <c r="N26"/>
    </row>
    <row r="27" spans="1:14" x14ac:dyDescent="0.2">
      <c r="A27" s="21" t="s">
        <v>1231</v>
      </c>
      <c r="B27" s="305">
        <f>IFERROR(VLOOKUP(A27,'School Tables'!$I$3:$J$80,2,FALSE),"")</f>
        <v>21525</v>
      </c>
      <c r="C27" s="297" t="str">
        <f t="array" ref="C27">IFERROR(INDEX('School Tables'!$H$3:$H$80,MATCH('School Level Expenditures'!B27,'School Tables'!$J$3:$J$80,0)),"")</f>
        <v>Manchester</v>
      </c>
      <c r="D27" s="294">
        <f>6563599.54+6345.94+631281.01+5666.69+1277512+15993</f>
        <v>8500398.1799999997</v>
      </c>
      <c r="E27" s="294">
        <f>3574.52+3292.13+243638.54+52343.01+121263</f>
        <v>424111.2</v>
      </c>
      <c r="F27" s="308">
        <f t="shared" si="1"/>
        <v>8924509.379999999</v>
      </c>
      <c r="G27" s="297"/>
      <c r="H27" s="297"/>
      <c r="I27" s="126"/>
      <c r="N27"/>
    </row>
    <row r="28" spans="1:14" x14ac:dyDescent="0.2">
      <c r="A28" s="21" t="s">
        <v>1238</v>
      </c>
      <c r="B28" s="305">
        <f>IFERROR(VLOOKUP(A28,'School Tables'!$I$3:$J$80,2,FALSE),"")</f>
        <v>21575</v>
      </c>
      <c r="C28" s="297" t="str">
        <f t="array" ref="C28">IFERROR(INDEX('School Tables'!$H$3:$H$80,MATCH('School Level Expenditures'!B28,'School Tables'!$J$3:$J$80,0)),"")</f>
        <v>Manchester</v>
      </c>
      <c r="D28" s="294">
        <f>7367168.24+1450569+18160</f>
        <v>8835897.2400000002</v>
      </c>
      <c r="E28" s="294">
        <f>334659.7+43248.6+12466.53+179798.74+38921.29+137690</f>
        <v>746784.8600000001</v>
      </c>
      <c r="F28" s="308">
        <f t="shared" si="1"/>
        <v>9582682.0999999996</v>
      </c>
      <c r="G28" s="297"/>
      <c r="H28" s="297"/>
      <c r="I28" s="126"/>
      <c r="N28"/>
    </row>
    <row r="29" spans="1:14" x14ac:dyDescent="0.2">
      <c r="A29" s="21" t="s">
        <v>1586</v>
      </c>
      <c r="B29" s="305">
        <f>IFERROR(VLOOKUP(A29,'School Tables'!$I$3:$J$80,2,FALSE),"")</f>
        <v>99999</v>
      </c>
      <c r="C29" s="297" t="str">
        <f t="array" ref="C29">IFERROR(INDEX('School Tables'!$H$3:$H$80,MATCH('School Level Expenditures'!B29,'School Tables'!$J$3:$J$80,0)),"")</f>
        <v>Other District Expenditures</v>
      </c>
      <c r="D29" s="294">
        <v>148969.04</v>
      </c>
      <c r="E29" s="294"/>
      <c r="F29" s="308">
        <f t="shared" si="1"/>
        <v>148969.04</v>
      </c>
      <c r="G29" s="297"/>
      <c r="H29" s="297"/>
      <c r="I29" s="126"/>
      <c r="N29"/>
    </row>
    <row r="30" spans="1:14" x14ac:dyDescent="0.2">
      <c r="A30" s="21" t="s">
        <v>1586</v>
      </c>
      <c r="B30" s="305">
        <f>IFERROR(VLOOKUP(A30,'School Tables'!$I$3:$J$80,2,FALSE),"")</f>
        <v>99999</v>
      </c>
      <c r="C30" s="297" t="str">
        <f t="array" ref="C30">IFERROR(INDEX('School Tables'!$H$3:$H$80,MATCH('School Level Expenditures'!B30,'School Tables'!$J$3:$J$80,0)),"")</f>
        <v>Other District Expenditures</v>
      </c>
      <c r="D30" s="294">
        <f>3278874.7+72280.75-652529.69</f>
        <v>2698625.7600000002</v>
      </c>
      <c r="E30" s="294"/>
      <c r="F30" s="308">
        <f t="shared" si="1"/>
        <v>2698625.7600000002</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56442329.829999998</v>
      </c>
      <c r="G36" s="303">
        <f>'DOE25'!L247+'DOE25'!L328</f>
        <v>56442329.830000006</v>
      </c>
      <c r="H36" s="304">
        <f>F36-G36</f>
        <v>0</v>
      </c>
      <c r="I36" s="310" t="str">
        <f>IF(H36=0,"","Does not match DOE25 page 9 and 13 Totals!!")</f>
        <v/>
      </c>
      <c r="N36"/>
    </row>
    <row r="37" spans="1:14" x14ac:dyDescent="0.2">
      <c r="A37" s="21" t="s">
        <v>1228</v>
      </c>
      <c r="B37" s="305">
        <f>IFERROR(VLOOKUP(A37,'School Tables'!$O$3:$P$122,2,FALSE),"")</f>
        <v>21510</v>
      </c>
      <c r="C37" s="297" t="str">
        <f t="array" ref="C37">IFERROR(INDEX('School Tables'!$N$3:$N$122,MATCH('School Level Expenditures'!B37,'School Tables'!$P$3:$P$122,0)),"")</f>
        <v>Manchester</v>
      </c>
      <c r="D37" s="294">
        <f>12954421.96+21798.07+1837.5+6500+1000+1000+7000+4500+500+15000+7500+2979393+77323</f>
        <v>16077773.530000001</v>
      </c>
      <c r="E37" s="294">
        <f>397164.05+5040.15+22457.41+5676.59+47693.64+112735.77+97410</f>
        <v>688177.61</v>
      </c>
      <c r="F37" s="308">
        <f>D37+E37</f>
        <v>16765951.140000001</v>
      </c>
      <c r="G37" s="297"/>
      <c r="H37" s="297"/>
      <c r="I37" s="126"/>
      <c r="N37"/>
    </row>
    <row r="38" spans="1:14" x14ac:dyDescent="0.2">
      <c r="A38" s="21" t="s">
        <v>1227</v>
      </c>
      <c r="B38" s="305">
        <f>IFERROR(VLOOKUP(A38,'School Tables'!$O$3:$P$122,2,FALSE),"")</f>
        <v>21505</v>
      </c>
      <c r="C38" s="297" t="str">
        <f t="array" ref="C38">IFERROR(INDEX('School Tables'!$N$3:$N$122,MATCH('School Level Expenditures'!B38,'School Tables'!$P$3:$P$122,0)),"")</f>
        <v>Manchester</v>
      </c>
      <c r="D38" s="294">
        <f>11624088.97+8000+10000+21217.61+42210.6+10552.65+2950466+76572</f>
        <v>14743107.83</v>
      </c>
      <c r="E38" s="294">
        <f>456552.1+43248.09+457100.99+14677.85+96464</f>
        <v>1068043.0299999998</v>
      </c>
      <c r="F38" s="308">
        <f t="shared" ref="F38:F41" si="2">D38+E38</f>
        <v>15811150.859999999</v>
      </c>
      <c r="G38" s="297"/>
      <c r="H38" s="297"/>
      <c r="I38" s="126"/>
      <c r="N38"/>
    </row>
    <row r="39" spans="1:14" x14ac:dyDescent="0.2">
      <c r="A39" s="21" t="s">
        <v>1248</v>
      </c>
      <c r="B39" s="305">
        <f>IFERROR(VLOOKUP(A39,'School Tables'!$O$3:$P$122,2,FALSE),"")</f>
        <v>29085</v>
      </c>
      <c r="C39" s="297" t="str">
        <f t="array" ref="C39">IFERROR(INDEX('School Tables'!$N$3:$N$122,MATCH('School Level Expenditures'!B39,'School Tables'!$P$3:$P$122,0)),"")</f>
        <v>Manchester</v>
      </c>
      <c r="D39" s="294">
        <f>2279857.27+1000+500+860263+21288</f>
        <v>3162908.27</v>
      </c>
      <c r="E39" s="294">
        <f>38445.88+8995.32+86434.16+26818</f>
        <v>160693.35999999999</v>
      </c>
      <c r="F39" s="308">
        <f t="shared" si="2"/>
        <v>3323601.63</v>
      </c>
      <c r="G39" s="297"/>
      <c r="H39" s="297"/>
      <c r="I39" s="126"/>
      <c r="N39"/>
    </row>
    <row r="40" spans="1:14" x14ac:dyDescent="0.2">
      <c r="A40" s="21" t="s">
        <v>1235</v>
      </c>
      <c r="B40" s="305">
        <f>IFERROR(VLOOKUP(A40,'School Tables'!$O$3:$P$122,2,FALSE),"")</f>
        <v>21555</v>
      </c>
      <c r="C40" s="297" t="str">
        <f t="array" ref="C40">IFERROR(INDEX('School Tables'!$N$3:$N$122,MATCH('School Level Expenditures'!B40,'School Tables'!$P$3:$P$122,0)),"")</f>
        <v>Manchester</v>
      </c>
      <c r="D40" s="294">
        <f>10348457.37+1611599+41825-1004138.52</f>
        <v>10997742.85</v>
      </c>
      <c r="E40" s="294">
        <f>52691+1004138.52</f>
        <v>1056829.52</v>
      </c>
      <c r="F40" s="308">
        <f t="shared" si="2"/>
        <v>12054572.369999999</v>
      </c>
      <c r="G40" s="297"/>
      <c r="H40" s="297"/>
      <c r="I40" s="126"/>
      <c r="N40"/>
    </row>
    <row r="41" spans="1:14" x14ac:dyDescent="0.2">
      <c r="A41" s="21" t="s">
        <v>1586</v>
      </c>
      <c r="B41" s="305">
        <f>IFERROR(VLOOKUP(A41,'School Tables'!$O$3:$P$122,2,FALSE),"")</f>
        <v>99999</v>
      </c>
      <c r="C41" s="297" t="str">
        <f t="array" ref="C41">IFERROR(INDEX('School Tables'!$N$3:$N$122,MATCH('School Level Expenditures'!B41,'School Tables'!$P$3:$P$122,0)),"")</f>
        <v>Other District Expenditures</v>
      </c>
      <c r="D41" s="21">
        <f>28000.44+1000+500+4353078.83+642167.6+3744266.31-281959.35</f>
        <v>8487053.8300000001</v>
      </c>
      <c r="E41" s="21"/>
      <c r="F41" s="308">
        <f t="shared" si="2"/>
        <v>8487053.8300000001</v>
      </c>
      <c r="G41" s="297"/>
      <c r="H41" s="297"/>
      <c r="I41" s="126"/>
      <c r="N41"/>
    </row>
    <row r="42" spans="1:14" x14ac:dyDescent="0.2">
      <c r="A42" s="21" t="s">
        <v>1586</v>
      </c>
      <c r="B42" s="305">
        <f>IFERROR(VLOOKUP(A42,'School Tables'!$O$3:$P$122,2,FALSE),"")</f>
        <v>99999</v>
      </c>
      <c r="C42" s="297" t="str">
        <f t="array" ref="C42">IFERROR(INDEX('School Tables'!$N$3:$N$122,MATCH('School Level Expenditures'!B42,'School Tables'!$P$3:$P$122,0)),"")</f>
        <v>Other District Expenditures</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1"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5"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Manchester SD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7070336.1300000008</v>
      </c>
      <c r="D8" s="95">
        <f>'DOE25'!G9</f>
        <v>244282.16</v>
      </c>
      <c r="E8" s="95">
        <f>'DOE25'!H9</f>
        <v>1400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1518856.77</v>
      </c>
      <c r="D11" s="95">
        <f>'DOE25'!G12</f>
        <v>79760.58</v>
      </c>
      <c r="E11" s="95">
        <f>'DOE25'!H12</f>
        <v>0</v>
      </c>
      <c r="F11" s="95">
        <f>'DOE25'!I12</f>
        <v>0</v>
      </c>
      <c r="G11" s="95">
        <f>'DOE25'!J12</f>
        <v>566777.57999999996</v>
      </c>
      <c r="H11" s="124"/>
      <c r="I11" s="124"/>
    </row>
    <row r="12" spans="1:9" x14ac:dyDescent="0.2">
      <c r="A12" s="1" t="s">
        <v>143</v>
      </c>
      <c r="B12" s="6">
        <v>140</v>
      </c>
      <c r="C12" s="95">
        <f>'DOE25'!F13</f>
        <v>30261084.719999999</v>
      </c>
      <c r="D12" s="95">
        <f>'DOE25'!G13</f>
        <v>186187.79</v>
      </c>
      <c r="E12" s="95">
        <f>'DOE25'!H13</f>
        <v>192105.75</v>
      </c>
      <c r="F12" s="95">
        <f>'DOE25'!I13</f>
        <v>0</v>
      </c>
      <c r="G12" s="95">
        <f>'DOE25'!J13</f>
        <v>994055.96</v>
      </c>
      <c r="H12" s="124"/>
      <c r="I12" s="124"/>
    </row>
    <row r="13" spans="1:9" x14ac:dyDescent="0.2">
      <c r="A13" s="1" t="s">
        <v>144</v>
      </c>
      <c r="B13" s="6">
        <v>150</v>
      </c>
      <c r="C13" s="95">
        <f>'DOE25'!F14</f>
        <v>512967.08999999997</v>
      </c>
      <c r="D13" s="95">
        <f>'DOE25'!G14</f>
        <v>6448.39</v>
      </c>
      <c r="E13" s="95">
        <f>'DOE25'!H14</f>
        <v>3473004.9</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39502.199999999997</v>
      </c>
      <c r="E15" s="95">
        <f>'DOE25'!H16</f>
        <v>0</v>
      </c>
      <c r="F15" s="95">
        <f>'DOE25'!I16</f>
        <v>0</v>
      </c>
      <c r="G15" s="24" t="s">
        <v>288</v>
      </c>
      <c r="H15" s="124"/>
      <c r="I15" s="124"/>
    </row>
    <row r="16" spans="1:9" x14ac:dyDescent="0.2">
      <c r="A16" s="1" t="s">
        <v>147</v>
      </c>
      <c r="B16" s="6">
        <v>180</v>
      </c>
      <c r="C16" s="95">
        <f>'DOE25'!F17</f>
        <v>20248.72</v>
      </c>
      <c r="D16" s="95">
        <f>'DOE25'!G17</f>
        <v>0</v>
      </c>
      <c r="E16" s="95">
        <f>'DOE25'!H17</f>
        <v>5258.64</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39383493.43</v>
      </c>
      <c r="D18" s="41">
        <f>SUM(D8:D17)</f>
        <v>556181.12</v>
      </c>
      <c r="E18" s="41">
        <f>SUM(E8:E17)</f>
        <v>3671769.29</v>
      </c>
      <c r="F18" s="41">
        <f>SUM(F8:F17)</f>
        <v>0</v>
      </c>
      <c r="G18" s="41">
        <f>SUM(G8:G17)</f>
        <v>1560833.54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2165394.9300000002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1848084.46</v>
      </c>
      <c r="D23" s="95">
        <f>'DOE25'!G24</f>
        <v>32235.360000000001</v>
      </c>
      <c r="E23" s="95">
        <f>'DOE25'!H24</f>
        <v>369212.51</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2993279.87</v>
      </c>
      <c r="D27" s="95">
        <f>'DOE25'!G28</f>
        <v>17254.3</v>
      </c>
      <c r="E27" s="95">
        <f>'DOE25'!H28</f>
        <v>518764.68</v>
      </c>
      <c r="F27" s="95">
        <f>'DOE25'!I28</f>
        <v>0</v>
      </c>
      <c r="G27" s="24" t="s">
        <v>288</v>
      </c>
      <c r="H27" s="124"/>
      <c r="I27" s="124"/>
    </row>
    <row r="28" spans="1:9" x14ac:dyDescent="0.2">
      <c r="A28" s="1" t="s">
        <v>157</v>
      </c>
      <c r="B28" s="6">
        <v>470</v>
      </c>
      <c r="C28" s="95">
        <f>'DOE25'!F29</f>
        <v>1827375.72</v>
      </c>
      <c r="D28" s="95">
        <f>'DOE25'!G29</f>
        <v>0</v>
      </c>
      <c r="E28" s="95">
        <f>'DOE25'!H29</f>
        <v>0</v>
      </c>
      <c r="F28" s="95">
        <f>'DOE25'!I29</f>
        <v>0</v>
      </c>
      <c r="G28" s="24" t="s">
        <v>288</v>
      </c>
      <c r="H28" s="124"/>
      <c r="I28" s="124"/>
    </row>
    <row r="29" spans="1:9" x14ac:dyDescent="0.2">
      <c r="A29" s="1" t="s">
        <v>158</v>
      </c>
      <c r="B29" s="6">
        <v>480</v>
      </c>
      <c r="C29" s="95">
        <f>'DOE25'!F30</f>
        <v>32384704.699999999</v>
      </c>
      <c r="D29" s="95">
        <f>'DOE25'!G30</f>
        <v>71065.11</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39053444.75</v>
      </c>
      <c r="D31" s="41">
        <f>SUM(D21:D30)</f>
        <v>120554.77</v>
      </c>
      <c r="E31" s="41">
        <f>SUM(E21:E30)</f>
        <v>3053372.1200000006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39502.199999999997</v>
      </c>
      <c r="E34" s="95">
        <f>'DOE25'!H35</f>
        <v>0</v>
      </c>
      <c r="F34" s="95">
        <f>'DOE25'!I35</f>
        <v>0</v>
      </c>
      <c r="G34" s="24" t="s">
        <v>288</v>
      </c>
      <c r="H34" s="124"/>
      <c r="I34" s="124"/>
    </row>
    <row r="35" spans="1:9" x14ac:dyDescent="0.2">
      <c r="A35" s="1" t="s">
        <v>850</v>
      </c>
      <c r="B35" s="6">
        <v>752</v>
      </c>
      <c r="C35" s="95">
        <f>'DOE25'!F36</f>
        <v>20248.72</v>
      </c>
      <c r="D35" s="95">
        <f>'DOE25'!G36</f>
        <v>0</v>
      </c>
      <c r="E35" s="95">
        <f>'DOE25'!H36</f>
        <v>5258.64</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396124.15</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191302.32</v>
      </c>
      <c r="D47" s="95">
        <f>'DOE25'!G48</f>
        <v>0</v>
      </c>
      <c r="E47" s="95">
        <f>'DOE25'!H48</f>
        <v>613138.53</v>
      </c>
      <c r="F47" s="95">
        <f>'DOE25'!I48</f>
        <v>0</v>
      </c>
      <c r="G47" s="95">
        <f>'DOE25'!J48</f>
        <v>1560833.54</v>
      </c>
      <c r="H47" s="124"/>
      <c r="I47" s="124"/>
    </row>
    <row r="48" spans="1:9" x14ac:dyDescent="0.2">
      <c r="A48" s="1" t="s">
        <v>882</v>
      </c>
      <c r="B48" s="6">
        <v>753</v>
      </c>
      <c r="C48" s="95">
        <f>'DOE25'!F49</f>
        <v>118497.64</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330048.68</v>
      </c>
      <c r="D50" s="41">
        <f>SUM(D34:D49)</f>
        <v>435626.35000000003</v>
      </c>
      <c r="E50" s="41">
        <f>SUM(E34:E49)</f>
        <v>618397.17000000004</v>
      </c>
      <c r="F50" s="41">
        <f>SUM(F34:F49)</f>
        <v>0</v>
      </c>
      <c r="G50" s="41">
        <f>SUM(G34:G49)</f>
        <v>1560833.54</v>
      </c>
      <c r="H50" s="124"/>
      <c r="I50" s="124"/>
    </row>
    <row r="51" spans="1:9" ht="12" thickTop="1" x14ac:dyDescent="0.2">
      <c r="A51" s="38" t="s">
        <v>885</v>
      </c>
      <c r="B51" s="2"/>
      <c r="C51" s="41">
        <f>C50+C31</f>
        <v>39383493.43</v>
      </c>
      <c r="D51" s="41">
        <f>D50+D31</f>
        <v>556181.12</v>
      </c>
      <c r="E51" s="41">
        <f>E50+E31</f>
        <v>3671769.2900000005</v>
      </c>
      <c r="F51" s="41">
        <f>F50+F31</f>
        <v>0</v>
      </c>
      <c r="G51" s="41">
        <f>G50+G31</f>
        <v>1560833.54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82305752</v>
      </c>
      <c r="D56" s="95">
        <f>'DOE25'!G60</f>
        <v>0</v>
      </c>
      <c r="E56" s="95">
        <f>'DOE25'!H60</f>
        <v>137227.28</v>
      </c>
      <c r="F56" s="95">
        <f>'DOE25'!I60</f>
        <v>0</v>
      </c>
      <c r="G56" s="95">
        <f>'DOE25'!J60</f>
        <v>0</v>
      </c>
      <c r="H56"/>
      <c r="I56"/>
    </row>
    <row r="57" spans="1:9" x14ac:dyDescent="0.2">
      <c r="A57" s="1" t="s">
        <v>164</v>
      </c>
      <c r="B57" s="6" t="s">
        <v>165</v>
      </c>
      <c r="C57" s="95">
        <f>'DOE25'!F79</f>
        <v>2789199.96</v>
      </c>
      <c r="D57" s="24" t="s">
        <v>288</v>
      </c>
      <c r="E57" s="95">
        <f>'DOE25'!H79</f>
        <v>2862220.02</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517225.09</v>
      </c>
      <c r="D59" s="95">
        <f>'DOE25'!G96</f>
        <v>0</v>
      </c>
      <c r="E59" s="95">
        <f>'DOE25'!H96</f>
        <v>0</v>
      </c>
      <c r="F59" s="95">
        <f>'DOE25'!I96</f>
        <v>0</v>
      </c>
      <c r="G59" s="95">
        <f>'DOE25'!J96</f>
        <v>60140</v>
      </c>
      <c r="H59"/>
      <c r="I59"/>
    </row>
    <row r="60" spans="1:9" x14ac:dyDescent="0.2">
      <c r="A60" s="1" t="s">
        <v>170</v>
      </c>
      <c r="B60" s="118" t="s">
        <v>171</v>
      </c>
      <c r="C60" s="24" t="s">
        <v>288</v>
      </c>
      <c r="D60" s="95">
        <f>'DOE25'!G97</f>
        <v>1108043.52</v>
      </c>
      <c r="E60" s="24" t="s">
        <v>288</v>
      </c>
      <c r="F60" s="24" t="s">
        <v>288</v>
      </c>
      <c r="G60" s="24" t="s">
        <v>288</v>
      </c>
      <c r="H60"/>
      <c r="I60"/>
    </row>
    <row r="61" spans="1:9" ht="12" thickBot="1" x14ac:dyDescent="0.25">
      <c r="A61" s="1" t="s">
        <v>172</v>
      </c>
      <c r="B61" s="118" t="s">
        <v>173</v>
      </c>
      <c r="C61" s="95">
        <f>SUM('DOE25'!F98:F110)</f>
        <v>465623.61</v>
      </c>
      <c r="D61" s="95">
        <f>SUM('DOE25'!G98:G110)</f>
        <v>0</v>
      </c>
      <c r="E61" s="95">
        <f>SUM('DOE25'!H98:H110)</f>
        <v>731866.13</v>
      </c>
      <c r="F61" s="95">
        <f>SUM('DOE25'!I98:I110)</f>
        <v>0</v>
      </c>
      <c r="G61" s="95">
        <f>SUM('DOE25'!J98:J110)</f>
        <v>0</v>
      </c>
      <c r="H61"/>
      <c r="I61"/>
    </row>
    <row r="62" spans="1:9" ht="12.75" thickTop="1" thickBot="1" x14ac:dyDescent="0.25">
      <c r="A62" s="29" t="s">
        <v>174</v>
      </c>
      <c r="B62" s="6"/>
      <c r="C62" s="130">
        <f>SUM(C57:C61)</f>
        <v>3772048.6599999997</v>
      </c>
      <c r="D62" s="130">
        <f>SUM(D57:D61)</f>
        <v>1108043.52</v>
      </c>
      <c r="E62" s="130">
        <f>SUM(E57:E61)</f>
        <v>3594086.15</v>
      </c>
      <c r="F62" s="130">
        <f>SUM(F57:F61)</f>
        <v>0</v>
      </c>
      <c r="G62" s="130">
        <f>SUM(G57:G61)</f>
        <v>60140</v>
      </c>
      <c r="H62"/>
      <c r="I62"/>
    </row>
    <row r="63" spans="1:9" ht="12" thickTop="1" x14ac:dyDescent="0.2">
      <c r="A63" s="29" t="s">
        <v>175</v>
      </c>
      <c r="B63" s="6"/>
      <c r="C63" s="22">
        <f>C56+C62</f>
        <v>86077800.659999996</v>
      </c>
      <c r="D63" s="22">
        <f>D56+D62</f>
        <v>1108043.52</v>
      </c>
      <c r="E63" s="22">
        <f>E56+E62</f>
        <v>3731313.4299999997</v>
      </c>
      <c r="F63" s="22">
        <f>F56+F62</f>
        <v>0</v>
      </c>
      <c r="G63" s="22">
        <f>G56+G62</f>
        <v>60140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56687983.509999998</v>
      </c>
      <c r="D66" s="24" t="s">
        <v>288</v>
      </c>
      <c r="E66" s="24" t="s">
        <v>288</v>
      </c>
      <c r="F66" s="24" t="s">
        <v>288</v>
      </c>
      <c r="G66" s="24" t="s">
        <v>288</v>
      </c>
      <c r="H66"/>
      <c r="I66"/>
    </row>
    <row r="67" spans="1:9" x14ac:dyDescent="0.2">
      <c r="A67" s="1" t="s">
        <v>770</v>
      </c>
      <c r="B67" s="6">
        <v>3112</v>
      </c>
      <c r="C67" s="95">
        <f>'DOE25'!F118</f>
        <v>20114604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140739.10999999999</v>
      </c>
      <c r="D69" s="95">
        <f>'DOE25'!G120</f>
        <v>0</v>
      </c>
      <c r="E69" s="95">
        <f>'DOE25'!H120</f>
        <v>0</v>
      </c>
      <c r="F69" s="95">
        <f>'DOE25'!I120</f>
        <v>0</v>
      </c>
      <c r="G69" s="95">
        <f>'DOE25'!J120</f>
        <v>0</v>
      </c>
      <c r="H69"/>
      <c r="I69"/>
    </row>
    <row r="70" spans="1:9" ht="12" thickTop="1" x14ac:dyDescent="0.2">
      <c r="A70" s="29" t="s">
        <v>252</v>
      </c>
      <c r="B70" s="2"/>
      <c r="C70" s="139">
        <f>SUM(C66:C69)</f>
        <v>76943326.61999999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3253465.87</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1114546.29</v>
      </c>
      <c r="D74" s="24"/>
      <c r="E74" s="24"/>
      <c r="F74" s="24"/>
      <c r="G74" s="24"/>
      <c r="H74"/>
      <c r="I74"/>
    </row>
    <row r="75" spans="1:9" x14ac:dyDescent="0.2">
      <c r="A75" s="1" t="s">
        <v>256</v>
      </c>
      <c r="B75" s="6">
        <v>3230</v>
      </c>
      <c r="C75" s="95">
        <f>'DOE25'!F126</f>
        <v>1208087.5</v>
      </c>
      <c r="D75" s="24" t="s">
        <v>288</v>
      </c>
      <c r="E75" s="24" t="s">
        <v>288</v>
      </c>
      <c r="F75" s="24" t="s">
        <v>288</v>
      </c>
      <c r="G75" s="24" t="s">
        <v>288</v>
      </c>
      <c r="H75"/>
      <c r="I75"/>
    </row>
    <row r="76" spans="1:9" x14ac:dyDescent="0.2">
      <c r="A76" s="1" t="s">
        <v>257</v>
      </c>
      <c r="B76" s="6" t="s">
        <v>179</v>
      </c>
      <c r="C76" s="95">
        <f>SUM('DOE25'!F127:F130)</f>
        <v>665051.79</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85448.41</v>
      </c>
      <c r="E77" s="95">
        <f>SUM('DOE25'!H131:H135)</f>
        <v>27122.799999999999</v>
      </c>
      <c r="F77" s="95">
        <f>SUM('DOE25'!I131:I135)</f>
        <v>0</v>
      </c>
      <c r="G77" s="95">
        <f>SUM('DOE25'!J131:J135)</f>
        <v>0</v>
      </c>
      <c r="H77"/>
      <c r="I77"/>
    </row>
    <row r="78" spans="1:9" ht="12.75" thickTop="1" thickBot="1" x14ac:dyDescent="0.25">
      <c r="A78" s="29" t="s">
        <v>259</v>
      </c>
      <c r="B78" s="6"/>
      <c r="C78" s="130">
        <f>SUM(C72:C77)</f>
        <v>6241151.4500000002</v>
      </c>
      <c r="D78" s="130">
        <f>SUM(D72:D77)</f>
        <v>85448.41</v>
      </c>
      <c r="E78" s="130">
        <f>SUM(E72:E77)</f>
        <v>27122.799999999999</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83184478.069999993</v>
      </c>
      <c r="D81" s="130">
        <f>SUM(D79:D80)+D78+D70</f>
        <v>85448.41</v>
      </c>
      <c r="E81" s="130">
        <f>SUM(E79:E80)+E78+E70</f>
        <v>27122.799999999999</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329747.40999999997</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1718987.93</v>
      </c>
      <c r="D88" s="95">
        <f>SUM('DOE25'!G153:G161)</f>
        <v>4176440.9899999998</v>
      </c>
      <c r="E88" s="95">
        <f>SUM('DOE25'!H153:H161)</f>
        <v>14470333.969999999</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1718987.93</v>
      </c>
      <c r="D91" s="131">
        <f>SUM(D85:D90)</f>
        <v>4506188.3999999994</v>
      </c>
      <c r="E91" s="131">
        <f>SUM(E85:E90)</f>
        <v>14470333.969999999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566778</v>
      </c>
    </row>
    <row r="97" spans="1:7" x14ac:dyDescent="0.2">
      <c r="A97" t="s">
        <v>754</v>
      </c>
      <c r="B97" s="32" t="s">
        <v>188</v>
      </c>
      <c r="C97" s="95">
        <f>SUM('DOE25'!F180:F181)</f>
        <v>161635.85999999999</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161635.85999999999</v>
      </c>
      <c r="D103" s="86">
        <f>SUM(D93:D102)</f>
        <v>0</v>
      </c>
      <c r="E103" s="86">
        <f>SUM(E93:E102)</f>
        <v>0</v>
      </c>
      <c r="F103" s="86">
        <f>SUM(F93:F102)</f>
        <v>0</v>
      </c>
      <c r="G103" s="86">
        <f>SUM(G93:G102)</f>
        <v>566778</v>
      </c>
    </row>
    <row r="104" spans="1:7" ht="12.75" thickTop="1" thickBot="1" x14ac:dyDescent="0.25">
      <c r="A104" s="33" t="s">
        <v>761</v>
      </c>
      <c r="C104" s="86">
        <f>C63+C81+C91+C103</f>
        <v>171142902.52000001</v>
      </c>
      <c r="D104" s="86">
        <f>D63+D81+D91+D103</f>
        <v>5699680.3299999991</v>
      </c>
      <c r="E104" s="86">
        <f>E63+E81+E91+E103</f>
        <v>18228770.199999999</v>
      </c>
      <c r="F104" s="86">
        <f>F63+F81+F91+F103</f>
        <v>0</v>
      </c>
      <c r="G104" s="86">
        <f>G63+G81+G103</f>
        <v>626918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68432111.039999992</v>
      </c>
      <c r="D109" s="24" t="s">
        <v>288</v>
      </c>
      <c r="E109" s="95">
        <f>('DOE25'!L276)+('DOE25'!L295)+('DOE25'!L314)</f>
        <v>1953097.13</v>
      </c>
      <c r="F109" s="24" t="s">
        <v>288</v>
      </c>
      <c r="G109" s="24" t="s">
        <v>288</v>
      </c>
    </row>
    <row r="110" spans="1:7" x14ac:dyDescent="0.2">
      <c r="A110" t="s">
        <v>198</v>
      </c>
      <c r="B110" s="32" t="s">
        <v>199</v>
      </c>
      <c r="C110" s="95">
        <f>('DOE25'!L198)+('DOE25'!L216)+('DOE25'!L234)</f>
        <v>37403375.089999996</v>
      </c>
      <c r="D110" s="24" t="s">
        <v>288</v>
      </c>
      <c r="E110" s="95">
        <f>('DOE25'!L277)+('DOE25'!L296)+('DOE25'!L315)</f>
        <v>13256592.620999997</v>
      </c>
      <c r="F110" s="24" t="s">
        <v>288</v>
      </c>
      <c r="G110" s="24" t="s">
        <v>288</v>
      </c>
    </row>
    <row r="111" spans="1:7" x14ac:dyDescent="0.2">
      <c r="A111" t="s">
        <v>200</v>
      </c>
      <c r="B111" s="32" t="s">
        <v>165</v>
      </c>
      <c r="C111" s="95">
        <f>('DOE25'!L199)+('DOE25'!L217)+('DOE25'!L235)</f>
        <v>2998711.74</v>
      </c>
      <c r="D111" s="24" t="s">
        <v>288</v>
      </c>
      <c r="E111" s="95">
        <f>('DOE25'!L278)+('DOE25'!L297)+('DOE25'!L316)</f>
        <v>434467.72</v>
      </c>
      <c r="F111" s="24" t="s">
        <v>288</v>
      </c>
      <c r="G111" s="24" t="s">
        <v>288</v>
      </c>
    </row>
    <row r="112" spans="1:7" x14ac:dyDescent="0.2">
      <c r="A112" t="s">
        <v>201</v>
      </c>
      <c r="B112" s="32" t="s">
        <v>167</v>
      </c>
      <c r="C112" s="95">
        <f>('DOE25'!L200)+('DOE25'!L218)+('DOE25'!L236)</f>
        <v>1708070.1</v>
      </c>
      <c r="D112" s="24" t="s">
        <v>288</v>
      </c>
      <c r="E112" s="95">
        <f>+('DOE25'!L279)+('DOE25'!L298)+('DOE25'!L317)</f>
        <v>1498112.3199999998</v>
      </c>
      <c r="F112" s="24" t="s">
        <v>288</v>
      </c>
      <c r="G112" s="24" t="s">
        <v>288</v>
      </c>
    </row>
    <row r="113" spans="1:7" x14ac:dyDescent="0.2">
      <c r="A113" t="s">
        <v>202</v>
      </c>
      <c r="B113" s="32" t="s">
        <v>169</v>
      </c>
      <c r="C113" s="95">
        <f>'DOE25'!L250</f>
        <v>0</v>
      </c>
      <c r="D113" s="24" t="s">
        <v>288</v>
      </c>
      <c r="E113" s="95">
        <f>+'DOE25'!L332</f>
        <v>25729.13</v>
      </c>
      <c r="F113" s="24" t="s">
        <v>288</v>
      </c>
      <c r="G113" s="24" t="s">
        <v>288</v>
      </c>
    </row>
    <row r="114" spans="1:7" ht="12" thickBot="1" x14ac:dyDescent="0.25">
      <c r="A114" t="s">
        <v>203</v>
      </c>
      <c r="B114" s="32" t="s">
        <v>204</v>
      </c>
      <c r="C114" s="95">
        <f>SUM('DOE25'!L251:L253)</f>
        <v>54083.090000000004</v>
      </c>
      <c r="D114" s="24" t="s">
        <v>288</v>
      </c>
      <c r="E114" s="95">
        <f>+ SUM('DOE25'!L333:L335)</f>
        <v>289259.88999999996</v>
      </c>
      <c r="F114" s="24" t="s">
        <v>288</v>
      </c>
      <c r="G114" s="24" t="s">
        <v>288</v>
      </c>
    </row>
    <row r="115" spans="1:7" ht="12.75" thickTop="1" thickBot="1" x14ac:dyDescent="0.25">
      <c r="A115" s="33" t="s">
        <v>205</v>
      </c>
      <c r="C115" s="86">
        <f>SUM(C109:C114)</f>
        <v>110596351.05999999</v>
      </c>
      <c r="D115" s="86">
        <f>SUM(D109:D114)</f>
        <v>0</v>
      </c>
      <c r="E115" s="86">
        <f>SUM(E109:E114)</f>
        <v>17457258.810999997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13461891.210000001</v>
      </c>
      <c r="D118" s="24" t="s">
        <v>288</v>
      </c>
      <c r="E118" s="95">
        <f>+('DOE25'!L281)+('DOE25'!L300)+('DOE25'!L319)</f>
        <v>303556.89999999997</v>
      </c>
      <c r="F118" s="24" t="s">
        <v>288</v>
      </c>
      <c r="G118" s="24" t="s">
        <v>288</v>
      </c>
    </row>
    <row r="119" spans="1:7" x14ac:dyDescent="0.2">
      <c r="A119" t="s">
        <v>208</v>
      </c>
      <c r="B119" s="32" t="s">
        <v>209</v>
      </c>
      <c r="C119" s="95">
        <f>('DOE25'!L203)+('DOE25'!L221)+('DOE25'!L239)</f>
        <v>2684183.13</v>
      </c>
      <c r="D119" s="24" t="s">
        <v>288</v>
      </c>
      <c r="E119" s="95">
        <f>+('DOE25'!L282)+('DOE25'!L301)+('DOE25'!L320)</f>
        <v>199079.01</v>
      </c>
      <c r="F119" s="24" t="s">
        <v>288</v>
      </c>
      <c r="G119" s="24" t="s">
        <v>288</v>
      </c>
    </row>
    <row r="120" spans="1:7" x14ac:dyDescent="0.2">
      <c r="A120" t="s">
        <v>210</v>
      </c>
      <c r="B120" s="32" t="s">
        <v>211</v>
      </c>
      <c r="C120" s="95">
        <f>('DOE25'!L204)+('DOE25'!L222)+('DOE25'!L240)</f>
        <v>1925827.03</v>
      </c>
      <c r="D120" s="24" t="s">
        <v>288</v>
      </c>
      <c r="E120" s="95">
        <f>+('DOE25'!L283)+('DOE25'!L302)+('DOE25'!L321)</f>
        <v>445919.6</v>
      </c>
      <c r="F120" s="24" t="s">
        <v>288</v>
      </c>
      <c r="G120" s="24" t="s">
        <v>288</v>
      </c>
    </row>
    <row r="121" spans="1:7" x14ac:dyDescent="0.2">
      <c r="A121" t="s">
        <v>212</v>
      </c>
      <c r="B121" s="32" t="s">
        <v>213</v>
      </c>
      <c r="C121" s="95">
        <f>('DOE25'!L205)+('DOE25'!L223)+('DOE25'!L241)</f>
        <v>10035192.640000001</v>
      </c>
      <c r="D121" s="24" t="s">
        <v>288</v>
      </c>
      <c r="E121" s="95">
        <f>+('DOE25'!L284)+('DOE25'!L303)+('DOE25'!L322)</f>
        <v>0</v>
      </c>
      <c r="F121" s="24" t="s">
        <v>288</v>
      </c>
      <c r="G121" s="24" t="s">
        <v>288</v>
      </c>
    </row>
    <row r="122" spans="1:7" x14ac:dyDescent="0.2">
      <c r="A122" t="s">
        <v>214</v>
      </c>
      <c r="B122" s="32" t="s">
        <v>215</v>
      </c>
      <c r="C122" s="95">
        <f>('DOE25'!L206)+('DOE25'!L224)+('DOE25'!L242)</f>
        <v>1347236.7</v>
      </c>
      <c r="D122" s="24" t="s">
        <v>288</v>
      </c>
      <c r="E122" s="95">
        <f>+('DOE25'!L285)+('DOE25'!L304)+('DOE25'!L323)</f>
        <v>0</v>
      </c>
      <c r="F122" s="24" t="s">
        <v>288</v>
      </c>
      <c r="G122" s="24" t="s">
        <v>288</v>
      </c>
    </row>
    <row r="123" spans="1:7" x14ac:dyDescent="0.2">
      <c r="A123" t="s">
        <v>216</v>
      </c>
      <c r="B123" s="32" t="s">
        <v>217</v>
      </c>
      <c r="C123" s="95">
        <f>('DOE25'!L207)+('DOE25'!L225)+('DOE25'!L243)</f>
        <v>9681874.5299999993</v>
      </c>
      <c r="D123" s="24" t="s">
        <v>288</v>
      </c>
      <c r="E123" s="95">
        <f>+('DOE25'!L286)+('DOE25'!L305)+('DOE25'!L324)</f>
        <v>115463.5</v>
      </c>
      <c r="F123" s="24" t="s">
        <v>288</v>
      </c>
      <c r="G123" s="24" t="s">
        <v>288</v>
      </c>
    </row>
    <row r="124" spans="1:7" x14ac:dyDescent="0.2">
      <c r="A124" t="s">
        <v>218</v>
      </c>
      <c r="B124" s="32" t="s">
        <v>219</v>
      </c>
      <c r="C124" s="95">
        <f>('DOE25'!L208)+('DOE25'!L226)+('DOE25'!L244+'DOE25'!L254)</f>
        <v>6058517.8499999996</v>
      </c>
      <c r="D124" s="24" t="s">
        <v>288</v>
      </c>
      <c r="E124" s="95">
        <f>+('DOE25'!L287)+('DOE25'!L306)+('DOE25'!L325)</f>
        <v>0</v>
      </c>
      <c r="F124" s="24" t="s">
        <v>288</v>
      </c>
      <c r="G124" s="24" t="s">
        <v>288</v>
      </c>
    </row>
    <row r="125" spans="1:7" x14ac:dyDescent="0.2">
      <c r="A125" t="s">
        <v>220</v>
      </c>
      <c r="B125" s="32" t="s">
        <v>221</v>
      </c>
      <c r="C125" s="95">
        <f>('DOE25'!L209)+('DOE25'!L227)+('DOE25'!L245)</f>
        <v>1702914.25</v>
      </c>
      <c r="D125" s="24" t="s">
        <v>288</v>
      </c>
      <c r="E125" s="95">
        <f>+('DOE25'!L288)+('DOE25'!L307)+('DOE25'!L326)</f>
        <v>21763.78</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5847908.8300000001</v>
      </c>
      <c r="E127" s="24" t="s">
        <v>288</v>
      </c>
      <c r="F127" s="24" t="s">
        <v>288</v>
      </c>
      <c r="G127" s="24" t="s">
        <v>288</v>
      </c>
    </row>
    <row r="128" spans="1:7" ht="12.75" thickTop="1" thickBot="1" x14ac:dyDescent="0.25">
      <c r="A128" s="33" t="s">
        <v>226</v>
      </c>
      <c r="C128" s="86">
        <f>SUM(C118:C127)</f>
        <v>46897637.340000004</v>
      </c>
      <c r="D128" s="86">
        <f>SUM(D118:D127)</f>
        <v>5847908.8300000001</v>
      </c>
      <c r="E128" s="86">
        <f>SUM(E118:E127)</f>
        <v>1085782.79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8229288.6500000004</v>
      </c>
      <c r="D131" s="24" t="s">
        <v>288</v>
      </c>
      <c r="E131" s="129">
        <f>'DOE25'!L341</f>
        <v>0</v>
      </c>
      <c r="F131" s="24" t="s">
        <v>288</v>
      </c>
      <c r="G131" s="24" t="s">
        <v>288</v>
      </c>
    </row>
    <row r="132" spans="1:7" x14ac:dyDescent="0.2">
      <c r="A132" t="s">
        <v>230</v>
      </c>
      <c r="B132" s="32">
        <v>5120</v>
      </c>
      <c r="C132" s="95">
        <f>'DOE25'!L261</f>
        <v>3989478.72</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161635.85999999999</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626918</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-60140</v>
      </c>
      <c r="D141" s="24" t="s">
        <v>288</v>
      </c>
      <c r="E141" s="24" t="s">
        <v>288</v>
      </c>
      <c r="F141" s="24" t="s">
        <v>288</v>
      </c>
      <c r="G141" s="24" t="s">
        <v>288</v>
      </c>
    </row>
    <row r="142" spans="1:7" x14ac:dyDescent="0.2">
      <c r="A142" t="s">
        <v>241</v>
      </c>
      <c r="B142" s="32">
        <v>5310</v>
      </c>
      <c r="C142" s="129">
        <f>'DOE25'!L268</f>
        <v>1007422.97</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13792968.340000002</v>
      </c>
      <c r="D144" s="141">
        <f>SUM(D130:D143)</f>
        <v>0</v>
      </c>
      <c r="E144" s="141">
        <f>SUM(E130:E143)</f>
        <v>161635.85999999999</v>
      </c>
      <c r="F144" s="141">
        <f>SUM(F130:F143)</f>
        <v>0</v>
      </c>
      <c r="G144" s="141">
        <f>SUM(G130:G143)</f>
        <v>0</v>
      </c>
    </row>
    <row r="145" spans="1:9" ht="12.75" thickTop="1" thickBot="1" x14ac:dyDescent="0.25">
      <c r="A145" s="33" t="s">
        <v>244</v>
      </c>
      <c r="C145" s="86">
        <f>(C115+C128+C144)</f>
        <v>171286956.73999998</v>
      </c>
      <c r="D145" s="86">
        <f>(D115+D128+D144)</f>
        <v>5847908.8300000001</v>
      </c>
      <c r="E145" s="86">
        <f>(E115+E128+E144)</f>
        <v>18704677.460999995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horizontalDpi="4294967295" verticalDpi="4294967295"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Manchester SD</v>
      </c>
    </row>
    <row r="3" spans="1:4" x14ac:dyDescent="0.2">
      <c r="B3" s="188" t="s">
        <v>1602</v>
      </c>
    </row>
    <row r="4" spans="1:4" x14ac:dyDescent="0.2">
      <c r="B4" t="s">
        <v>61</v>
      </c>
      <c r="C4" s="179">
        <f>IF('DOE25'!F665+'DOE25'!F670=0,0,ROUND('DOE25'!F672,0))</f>
        <v>11678</v>
      </c>
    </row>
    <row r="5" spans="1:4" x14ac:dyDescent="0.2">
      <c r="B5" t="s">
        <v>700</v>
      </c>
      <c r="C5" s="179">
        <f>IF('DOE25'!G665+'DOE25'!G670=0,0,ROUND('DOE25'!G672,0))</f>
        <v>12805</v>
      </c>
    </row>
    <row r="6" spans="1:4" x14ac:dyDescent="0.2">
      <c r="B6" t="s">
        <v>62</v>
      </c>
      <c r="C6" s="179">
        <f>IF('DOE25'!H665+'DOE25'!H670=0,0,ROUND('DOE25'!H672,0))</f>
        <v>13246</v>
      </c>
    </row>
    <row r="7" spans="1:4" x14ac:dyDescent="0.2">
      <c r="B7" t="s">
        <v>701</v>
      </c>
      <c r="C7" s="179">
        <f>IF('DOE25'!I665+'DOE25'!I670=0,0,ROUND('DOE25'!I672,0))</f>
        <v>12389</v>
      </c>
    </row>
    <row r="9" spans="1:4" x14ac:dyDescent="0.2">
      <c r="A9" s="187" t="s">
        <v>94</v>
      </c>
      <c r="B9" s="188" t="s">
        <v>1603</v>
      </c>
      <c r="C9" s="181" t="s">
        <v>720</v>
      </c>
      <c r="D9" s="181" t="s">
        <v>721</v>
      </c>
    </row>
    <row r="10" spans="1:4" x14ac:dyDescent="0.2">
      <c r="A10">
        <v>1100</v>
      </c>
      <c r="B10" t="s">
        <v>702</v>
      </c>
      <c r="C10" s="179">
        <f>ROUND('DOE25'!L197+'DOE25'!L215+'DOE25'!L233+'DOE25'!L276+'DOE25'!L295+'DOE25'!L314,0)</f>
        <v>70385208</v>
      </c>
      <c r="D10" s="182">
        <f>ROUND((C10/$C$28)*100,1)</f>
        <v>37.9</v>
      </c>
    </row>
    <row r="11" spans="1:4" x14ac:dyDescent="0.2">
      <c r="A11">
        <v>1200</v>
      </c>
      <c r="B11" t="s">
        <v>703</v>
      </c>
      <c r="C11" s="179">
        <f>ROUND('DOE25'!L198+'DOE25'!L216+'DOE25'!L234+'DOE25'!L277+'DOE25'!L296+'DOE25'!L315,0)</f>
        <v>50659968</v>
      </c>
      <c r="D11" s="182">
        <f>ROUND((C11/$C$28)*100,1)</f>
        <v>27.3</v>
      </c>
    </row>
    <row r="12" spans="1:4" x14ac:dyDescent="0.2">
      <c r="A12">
        <v>1300</v>
      </c>
      <c r="B12" t="s">
        <v>704</v>
      </c>
      <c r="C12" s="179">
        <f>ROUND('DOE25'!L199+'DOE25'!L217+'DOE25'!L235+'DOE25'!L278+'DOE25'!L297+'DOE25'!L316,0)</f>
        <v>3433179</v>
      </c>
      <c r="D12" s="182">
        <f>ROUND((C12/$C$28)*100,1)</f>
        <v>1.8</v>
      </c>
    </row>
    <row r="13" spans="1:4" x14ac:dyDescent="0.2">
      <c r="A13">
        <v>1400</v>
      </c>
      <c r="B13" t="s">
        <v>705</v>
      </c>
      <c r="C13" s="179">
        <f>ROUND('DOE25'!L200+'DOE25'!L218+'DOE25'!L236+'DOE25'!L279+'DOE25'!L298+'DOE25'!L317,0)</f>
        <v>3206182</v>
      </c>
      <c r="D13" s="182">
        <f>ROUND((C13/$C$28)*100,1)</f>
        <v>1.7</v>
      </c>
    </row>
    <row r="14" spans="1:4" x14ac:dyDescent="0.2">
      <c r="D14" s="182"/>
    </row>
    <row r="15" spans="1:4" x14ac:dyDescent="0.2">
      <c r="A15">
        <v>2100</v>
      </c>
      <c r="B15" t="s">
        <v>706</v>
      </c>
      <c r="C15" s="179">
        <f>ROUND('DOE25'!L202+'DOE25'!L220+'DOE25'!L238+'DOE25'!L281+'DOE25'!L300+'DOE25'!L319,0)</f>
        <v>13765448</v>
      </c>
      <c r="D15" s="182">
        <f t="shared" ref="D15:D27" si="0">ROUND((C15/$C$28)*100,1)</f>
        <v>7.4</v>
      </c>
    </row>
    <row r="16" spans="1:4" x14ac:dyDescent="0.2">
      <c r="A16">
        <v>2200</v>
      </c>
      <c r="B16" t="s">
        <v>707</v>
      </c>
      <c r="C16" s="179">
        <f>ROUND('DOE25'!L203+'DOE25'!L221+'DOE25'!L239+'DOE25'!L282+'DOE25'!L301+'DOE25'!L320,0)</f>
        <v>2883262</v>
      </c>
      <c r="D16" s="182">
        <f t="shared" si="0"/>
        <v>1.6</v>
      </c>
    </row>
    <row r="17" spans="1:4" x14ac:dyDescent="0.2">
      <c r="A17" s="183" t="s">
        <v>723</v>
      </c>
      <c r="B17" t="s">
        <v>738</v>
      </c>
      <c r="C17" s="179">
        <f>ROUND('DOE25'!L204+'DOE25'!L209+'DOE25'!L222+'DOE25'!L227+'DOE25'!L240+'DOE25'!L245+'DOE25'!L283+'DOE25'!L288+'DOE25'!L302+'DOE25'!L307+'DOE25'!L321+'DOE25'!L326,0)</f>
        <v>4096425</v>
      </c>
      <c r="D17" s="182">
        <f t="shared" si="0"/>
        <v>2.2000000000000002</v>
      </c>
    </row>
    <row r="18" spans="1:4" x14ac:dyDescent="0.2">
      <c r="A18">
        <v>2400</v>
      </c>
      <c r="B18" t="s">
        <v>711</v>
      </c>
      <c r="C18" s="179">
        <f>ROUND('DOE25'!L205+'DOE25'!L223+'DOE25'!L241+'DOE25'!L284+'DOE25'!L303+'DOE25'!L322,0)</f>
        <v>10035193</v>
      </c>
      <c r="D18" s="182">
        <f t="shared" si="0"/>
        <v>5.4</v>
      </c>
    </row>
    <row r="19" spans="1:4" x14ac:dyDescent="0.2">
      <c r="A19">
        <v>2500</v>
      </c>
      <c r="B19" t="s">
        <v>708</v>
      </c>
      <c r="C19" s="179">
        <f>ROUND('DOE25'!L206+'DOE25'!L224+'DOE25'!L242+'DOE25'!L285+'DOE25'!L304+'DOE25'!L323,0)</f>
        <v>1347237</v>
      </c>
      <c r="D19" s="182">
        <f t="shared" si="0"/>
        <v>0.7</v>
      </c>
    </row>
    <row r="20" spans="1:4" x14ac:dyDescent="0.2">
      <c r="A20">
        <v>2600</v>
      </c>
      <c r="B20" t="s">
        <v>709</v>
      </c>
      <c r="C20" s="179">
        <f>ROUND('DOE25'!L207+'DOE25'!L225+'DOE25'!L243+'DOE25'!L286+'DOE25'!L305+'DOE25'!L324,0)</f>
        <v>9797338</v>
      </c>
      <c r="D20" s="182">
        <f t="shared" si="0"/>
        <v>5.3</v>
      </c>
    </row>
    <row r="21" spans="1:4" x14ac:dyDescent="0.2">
      <c r="A21">
        <v>2700</v>
      </c>
      <c r="B21" t="s">
        <v>710</v>
      </c>
      <c r="C21" s="179">
        <f>ROUND('DOE25'!L208+'DOE25'!L226+'DOE25'!L244+'DOE25'!L287+'DOE25'!L306+'DOE25'!L325,0)</f>
        <v>6058518</v>
      </c>
      <c r="D21" s="182">
        <f t="shared" si="0"/>
        <v>3.3</v>
      </c>
    </row>
    <row r="22" spans="1:4" x14ac:dyDescent="0.2">
      <c r="A22">
        <v>2900</v>
      </c>
      <c r="B22" t="s">
        <v>712</v>
      </c>
      <c r="C22" s="179">
        <v>0</v>
      </c>
      <c r="D22" s="182">
        <f t="shared" si="0"/>
        <v>0</v>
      </c>
    </row>
    <row r="23" spans="1:4" x14ac:dyDescent="0.2">
      <c r="A23">
        <v>1500</v>
      </c>
      <c r="B23" t="s">
        <v>714</v>
      </c>
      <c r="C23" s="179">
        <f>ROUND('DOE25'!L250+'DOE25'!L332,0)</f>
        <v>25729</v>
      </c>
      <c r="D23" s="182">
        <f t="shared" si="0"/>
        <v>0</v>
      </c>
    </row>
    <row r="24" spans="1:4" x14ac:dyDescent="0.2">
      <c r="A24" s="183" t="s">
        <v>722</v>
      </c>
      <c r="B24" t="s">
        <v>715</v>
      </c>
      <c r="C24" s="179">
        <f>ROUND('DOE25'!L251+'DOE25'!L252+'DOE25'!L253+'DOE25'!L254+'DOE25'!L333+'DOE25'!L334+'DOE25'!L335,0)</f>
        <v>343343</v>
      </c>
      <c r="D24" s="182">
        <f t="shared" si="0"/>
        <v>0.2</v>
      </c>
    </row>
    <row r="25" spans="1:4" x14ac:dyDescent="0.2">
      <c r="A25">
        <v>5120</v>
      </c>
      <c r="B25" t="s">
        <v>716</v>
      </c>
      <c r="C25" s="179">
        <f>ROUND('DOE25'!L261+'DOE25'!L342,0)</f>
        <v>3989479</v>
      </c>
      <c r="D25" s="182">
        <f t="shared" si="0"/>
        <v>2.1</v>
      </c>
    </row>
    <row r="26" spans="1:4" x14ac:dyDescent="0.2">
      <c r="A26" s="183" t="s">
        <v>717</v>
      </c>
      <c r="B26" t="s">
        <v>718</v>
      </c>
      <c r="C26" s="179">
        <f>'DOE25'!L268+'DOE25'!L269+'DOE25'!L349+'DOE25'!L350</f>
        <v>1007422.97</v>
      </c>
      <c r="D26" s="182">
        <f t="shared" si="0"/>
        <v>0.5</v>
      </c>
    </row>
    <row r="27" spans="1:4" x14ac:dyDescent="0.2">
      <c r="A27">
        <v>3100</v>
      </c>
      <c r="B27" t="s">
        <v>11</v>
      </c>
      <c r="C27" s="179">
        <f>ROUND('DOE25'!L362-'DOE25'!L361,0)-SUM('DOE25'!G97:G110)</f>
        <v>4739865.4800000004</v>
      </c>
      <c r="D27" s="182">
        <f t="shared" si="0"/>
        <v>2.6</v>
      </c>
    </row>
    <row r="28" spans="1:4" x14ac:dyDescent="0.2">
      <c r="B28" s="187" t="s">
        <v>719</v>
      </c>
      <c r="C28" s="180">
        <f>SUM(C10:C27)</f>
        <v>185773797.44999999</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185773797.44999999</v>
      </c>
    </row>
    <row r="31" spans="1:4" x14ac:dyDescent="0.2">
      <c r="B31" s="33"/>
      <c r="C31" s="180"/>
    </row>
    <row r="32" spans="1:4" x14ac:dyDescent="0.2">
      <c r="A32">
        <v>5100</v>
      </c>
      <c r="B32" s="33" t="s">
        <v>726</v>
      </c>
      <c r="C32" s="180">
        <f>ROUND('DOE25'!L260+'DOE25'!L341,0)</f>
        <v>8229289</v>
      </c>
    </row>
    <row r="34" spans="1:4" x14ac:dyDescent="0.2">
      <c r="A34" s="187" t="s">
        <v>94</v>
      </c>
      <c r="B34" s="188" t="s">
        <v>1604</v>
      </c>
      <c r="C34" s="181" t="s">
        <v>720</v>
      </c>
      <c r="D34" s="181" t="s">
        <v>721</v>
      </c>
    </row>
    <row r="35" spans="1:4" x14ac:dyDescent="0.2">
      <c r="A35">
        <v>1100</v>
      </c>
      <c r="B35" s="185" t="s">
        <v>727</v>
      </c>
      <c r="C35" s="179">
        <f>ROUND('DOE25'!F60+'DOE25'!G60+'DOE25'!H60+'DOE25'!I60+'DOE25'!J60,0)</f>
        <v>82442979</v>
      </c>
      <c r="D35" s="182">
        <f t="shared" ref="D35:D40" si="1">ROUND((C35/$C$41)*100,1)</f>
        <v>42.5</v>
      </c>
    </row>
    <row r="36" spans="1:4" x14ac:dyDescent="0.2">
      <c r="B36" s="185" t="s">
        <v>739</v>
      </c>
      <c r="C36" s="179">
        <f>SUM('DOE25'!F112:J112)-SUM('DOE25'!G97:G110)+('DOE25'!F174+'DOE25'!F175+'DOE25'!I174+'DOE25'!I175)-C35</f>
        <v>7426275.0899999887</v>
      </c>
      <c r="D36" s="182">
        <f t="shared" si="1"/>
        <v>3.8</v>
      </c>
    </row>
    <row r="37" spans="1:4" x14ac:dyDescent="0.2">
      <c r="A37" s="183" t="s">
        <v>835</v>
      </c>
      <c r="B37" s="185" t="s">
        <v>728</v>
      </c>
      <c r="C37" s="179">
        <f>ROUND('DOE25'!F117+'DOE25'!F118,0)</f>
        <v>76802588</v>
      </c>
      <c r="D37" s="182">
        <f t="shared" si="1"/>
        <v>39.6</v>
      </c>
    </row>
    <row r="38" spans="1:4" x14ac:dyDescent="0.2">
      <c r="A38" s="183" t="s">
        <v>734</v>
      </c>
      <c r="B38" s="185" t="s">
        <v>729</v>
      </c>
      <c r="C38" s="179">
        <f>ROUND(SUM('DOE25'!F140:J140)-SUM('DOE25'!F117:F119),0)</f>
        <v>6494462</v>
      </c>
      <c r="D38" s="182">
        <f t="shared" si="1"/>
        <v>3.4</v>
      </c>
    </row>
    <row r="39" spans="1:4" x14ac:dyDescent="0.2">
      <c r="A39">
        <v>4000</v>
      </c>
      <c r="B39" s="185" t="s">
        <v>730</v>
      </c>
      <c r="C39" s="179">
        <f>ROUND('DOE25'!F169+'DOE25'!G169+'DOE25'!H169+'DOE25'!I169,0)</f>
        <v>20695510</v>
      </c>
      <c r="D39" s="182">
        <f t="shared" si="1"/>
        <v>10.7</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193861814.08999997</v>
      </c>
      <c r="D41" s="184">
        <f>SUM(D35:D40)</f>
        <v>100.00000000000001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10"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Manchester SD</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2019-11-15T13:49:22Z</cp:lastPrinted>
  <dcterms:created xsi:type="dcterms:W3CDTF">1997-12-04T19:04:30Z</dcterms:created>
  <dcterms:modified xsi:type="dcterms:W3CDTF">2019-11-22T16:00:01Z</dcterms:modified>
</cp:coreProperties>
</file>