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19935" windowHeight="1182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4" l="1"/>
  <c r="E6" i="14"/>
  <c r="E5" i="14"/>
  <c r="E37" i="14"/>
  <c r="H611" i="1" l="1"/>
  <c r="G611" i="1"/>
  <c r="F611" i="1"/>
  <c r="I531" i="1"/>
  <c r="I533" i="1"/>
  <c r="H533" i="1"/>
  <c r="G533" i="1"/>
  <c r="G531" i="1"/>
  <c r="F533" i="1"/>
  <c r="H531" i="1"/>
  <c r="F531" i="1"/>
  <c r="D37" i="14" l="1"/>
  <c r="D7" i="14"/>
  <c r="D6" i="14"/>
  <c r="D5" i="14"/>
  <c r="H233" i="1"/>
  <c r="K319" i="1"/>
  <c r="K281" i="1"/>
  <c r="H281" i="1"/>
  <c r="G281" i="1"/>
  <c r="F281" i="1"/>
  <c r="H282" i="1"/>
  <c r="F24" i="1"/>
  <c r="H360" i="1"/>
  <c r="H358" i="1"/>
  <c r="J604" i="1"/>
  <c r="H604" i="1"/>
  <c r="J243" i="1"/>
  <c r="H243" i="1"/>
  <c r="J207" i="1"/>
  <c r="H207" i="1"/>
  <c r="J255" i="1"/>
  <c r="H582" i="1" l="1"/>
  <c r="F582" i="1"/>
  <c r="H579" i="1"/>
  <c r="H575" i="1"/>
  <c r="H576" i="1"/>
  <c r="H585" i="1"/>
  <c r="F578" i="1"/>
  <c r="H198" i="1"/>
  <c r="H208" i="1"/>
  <c r="J592" i="1"/>
  <c r="H592" i="1"/>
  <c r="J591" i="1"/>
  <c r="H591" i="1"/>
  <c r="H595" i="1"/>
  <c r="H594" i="1"/>
  <c r="J468" i="1"/>
  <c r="G236" i="1"/>
  <c r="H236" i="1"/>
  <c r="C39" i="12"/>
  <c r="C21" i="12"/>
  <c r="C20" i="12"/>
  <c r="C19" i="12"/>
  <c r="C12" i="12"/>
  <c r="C11" i="12" l="1"/>
  <c r="C10" i="12"/>
  <c r="B39" i="12"/>
  <c r="G234" i="1"/>
  <c r="F234" i="1"/>
  <c r="G198" i="1"/>
  <c r="F198" i="1"/>
  <c r="B20" i="12" l="1"/>
  <c r="B21" i="12"/>
  <c r="B19" i="12"/>
  <c r="B10" i="12" l="1"/>
  <c r="B12" i="12"/>
  <c r="B11" i="12"/>
  <c r="G233" i="1"/>
  <c r="H245" i="1"/>
  <c r="H244" i="1"/>
  <c r="I243" i="1"/>
  <c r="G243" i="1"/>
  <c r="F243" i="1"/>
  <c r="K240" i="1"/>
  <c r="J240" i="1"/>
  <c r="I240" i="1"/>
  <c r="H240" i="1"/>
  <c r="G240" i="1"/>
  <c r="F240" i="1"/>
  <c r="I239" i="1"/>
  <c r="H239" i="1"/>
  <c r="H238" i="1"/>
  <c r="K238" i="1"/>
  <c r="I234" i="1"/>
  <c r="H234" i="1"/>
  <c r="F233" i="1"/>
  <c r="J233" i="1"/>
  <c r="I233" i="1"/>
  <c r="F204" i="1"/>
  <c r="G197" i="1"/>
  <c r="H209" i="1"/>
  <c r="I207" i="1"/>
  <c r="G207" i="1"/>
  <c r="F207" i="1"/>
  <c r="K204" i="1"/>
  <c r="J204" i="1"/>
  <c r="I204" i="1"/>
  <c r="H204" i="1"/>
  <c r="G204" i="1"/>
  <c r="I203" i="1"/>
  <c r="G203" i="1"/>
  <c r="H202" i="1"/>
  <c r="K202" i="1"/>
  <c r="I198" i="1"/>
  <c r="F197" i="1"/>
  <c r="J197" i="1"/>
  <c r="I197" i="1"/>
  <c r="H197" i="1"/>
  <c r="I276" i="1" l="1"/>
  <c r="I315" i="1" l="1"/>
  <c r="I277" i="1"/>
  <c r="J315" i="1"/>
  <c r="J277" i="1"/>
  <c r="I320" i="1"/>
  <c r="H320" i="1"/>
  <c r="H277" i="1"/>
  <c r="G282" i="1"/>
  <c r="F282" i="1"/>
  <c r="I282" i="1"/>
  <c r="H319" i="1"/>
  <c r="H315" i="1"/>
  <c r="G315" i="1"/>
  <c r="F315" i="1"/>
  <c r="G277" i="1"/>
  <c r="F277" i="1"/>
  <c r="J314" i="1"/>
  <c r="J276" i="1"/>
  <c r="H276" i="1"/>
  <c r="G276" i="1"/>
  <c r="F276" i="1"/>
  <c r="I314" i="1" l="1"/>
  <c r="H314" i="1"/>
  <c r="G314" i="1"/>
  <c r="F314" i="1"/>
  <c r="J286" i="1"/>
  <c r="H235" i="1"/>
  <c r="I241" i="1"/>
  <c r="H241" i="1"/>
  <c r="G241" i="1"/>
  <c r="F241" i="1"/>
  <c r="G239" i="1"/>
  <c r="F239" i="1"/>
  <c r="I238" i="1"/>
  <c r="G238" i="1"/>
  <c r="F238" i="1"/>
  <c r="K236" i="1"/>
  <c r="J236" i="1"/>
  <c r="I236" i="1"/>
  <c r="F236" i="1"/>
  <c r="K233" i="1"/>
  <c r="J205" i="1"/>
  <c r="I205" i="1"/>
  <c r="H205" i="1"/>
  <c r="G205" i="1"/>
  <c r="F205" i="1"/>
  <c r="F203" i="1"/>
  <c r="I202" i="1"/>
  <c r="G202" i="1"/>
  <c r="F202" i="1"/>
  <c r="K200" i="1"/>
  <c r="J200" i="1"/>
  <c r="I200" i="1"/>
  <c r="H200" i="1"/>
  <c r="G200" i="1"/>
  <c r="F200" i="1"/>
  <c r="K197" i="1"/>
  <c r="H65" i="1" l="1"/>
  <c r="H22" i="1"/>
  <c r="H472" i="1"/>
  <c r="H63" i="1"/>
  <c r="H155" i="1"/>
  <c r="G97" i="1"/>
  <c r="F50" i="1"/>
  <c r="F29" i="1"/>
  <c r="F28" i="1"/>
  <c r="F9" i="1"/>
  <c r="H48" i="1"/>
  <c r="H14" i="1"/>
  <c r="G13" i="1" l="1"/>
  <c r="H13"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C13" i="10" s="1"/>
  <c r="G6" i="13"/>
  <c r="H6" i="13"/>
  <c r="L202" i="1"/>
  <c r="L220" i="1"/>
  <c r="L238" i="1"/>
  <c r="G7" i="13"/>
  <c r="H7" i="13"/>
  <c r="L203" i="1"/>
  <c r="L221" i="1"/>
  <c r="L239" i="1"/>
  <c r="G12" i="13"/>
  <c r="H12" i="13"/>
  <c r="L205" i="1"/>
  <c r="L223" i="1"/>
  <c r="L241" i="1"/>
  <c r="G14" i="13"/>
  <c r="H14" i="13"/>
  <c r="L207" i="1"/>
  <c r="L225" i="1"/>
  <c r="L243" i="1"/>
  <c r="G15" i="13"/>
  <c r="H15" i="13"/>
  <c r="L208" i="1"/>
  <c r="H647" i="1" s="1"/>
  <c r="L226" i="1"/>
  <c r="L244" i="1"/>
  <c r="G17" i="13"/>
  <c r="H17" i="13"/>
  <c r="L251" i="1"/>
  <c r="G18" i="13"/>
  <c r="H18" i="13"/>
  <c r="L252" i="1"/>
  <c r="G19" i="13"/>
  <c r="H19" i="13"/>
  <c r="L253" i="1"/>
  <c r="G29" i="13"/>
  <c r="H29" i="13"/>
  <c r="L358" i="1"/>
  <c r="L359" i="1"/>
  <c r="L360" i="1"/>
  <c r="I367" i="1"/>
  <c r="J290" i="1"/>
  <c r="J309" i="1"/>
  <c r="J328" i="1"/>
  <c r="K290" i="1"/>
  <c r="K309" i="1"/>
  <c r="K328" i="1"/>
  <c r="L276" i="1"/>
  <c r="E109" i="2" s="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E119" i="2" s="1"/>
  <c r="L321" i="1"/>
  <c r="L322" i="1"/>
  <c r="L323" i="1"/>
  <c r="L324" i="1"/>
  <c r="L325" i="1"/>
  <c r="L326" i="1"/>
  <c r="L333" i="1"/>
  <c r="L334" i="1"/>
  <c r="L335" i="1"/>
  <c r="L260" i="1"/>
  <c r="C32" i="10" s="1"/>
  <c r="L261" i="1"/>
  <c r="C25" i="10" s="1"/>
  <c r="L341" i="1"/>
  <c r="L342" i="1"/>
  <c r="L255" i="1"/>
  <c r="L336" i="1"/>
  <c r="C11" i="13"/>
  <c r="C10" i="13"/>
  <c r="C9" i="13"/>
  <c r="L361" i="1"/>
  <c r="B4" i="12"/>
  <c r="B36" i="12"/>
  <c r="C36" i="12"/>
  <c r="B40" i="12"/>
  <c r="A40" i="12" s="1"/>
  <c r="C40" i="12"/>
  <c r="B27" i="12"/>
  <c r="C27" i="12"/>
  <c r="A31" i="12" s="1"/>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F112" i="1" s="1"/>
  <c r="G60" i="1"/>
  <c r="H60" i="1"/>
  <c r="I60" i="1"/>
  <c r="F79" i="1"/>
  <c r="F94" i="1"/>
  <c r="F111" i="1"/>
  <c r="G111" i="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2" i="10"/>
  <c r="C19" i="10"/>
  <c r="L250" i="1"/>
  <c r="L332" i="1"/>
  <c r="L254" i="1"/>
  <c r="L268" i="1"/>
  <c r="L269" i="1"/>
  <c r="L349" i="1"/>
  <c r="L350" i="1"/>
  <c r="I665" i="1"/>
  <c r="I670" i="1"/>
  <c r="G662" i="1"/>
  <c r="H662" i="1"/>
  <c r="I669" i="1"/>
  <c r="C42" i="10"/>
  <c r="L374" i="1"/>
  <c r="L375" i="1"/>
  <c r="L376" i="1"/>
  <c r="L377" i="1"/>
  <c r="L378" i="1"/>
  <c r="L379" i="1"/>
  <c r="L380" i="1"/>
  <c r="B2" i="10"/>
  <c r="L344" i="1"/>
  <c r="L351" i="1" s="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I552" i="1" s="1"/>
  <c r="L541" i="1"/>
  <c r="J549" i="1" s="1"/>
  <c r="L542" i="1"/>
  <c r="J550" i="1" s="1"/>
  <c r="L543" i="1"/>
  <c r="J551" i="1" s="1"/>
  <c r="E132" i="2"/>
  <c r="E131" i="2"/>
  <c r="K270" i="1"/>
  <c r="J270" i="1"/>
  <c r="I270" i="1"/>
  <c r="H270" i="1"/>
  <c r="G270" i="1"/>
  <c r="F270" i="1"/>
  <c r="C132" i="2"/>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7" i="2"/>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C73" i="2"/>
  <c r="C78" i="2" s="1"/>
  <c r="F73" i="2"/>
  <c r="C74" i="2"/>
  <c r="C75" i="2"/>
  <c r="C76" i="2"/>
  <c r="E76" i="2"/>
  <c r="F76" i="2"/>
  <c r="C77" i="2"/>
  <c r="D77" i="2"/>
  <c r="D78" i="2" s="1"/>
  <c r="D81" i="2" s="1"/>
  <c r="E77" i="2"/>
  <c r="F77" i="2"/>
  <c r="G77" i="2"/>
  <c r="G78"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1" i="2"/>
  <c r="E111" i="2"/>
  <c r="E112" i="2"/>
  <c r="C113" i="2"/>
  <c r="E113" i="2"/>
  <c r="C114" i="2"/>
  <c r="E114" i="2"/>
  <c r="D115" i="2"/>
  <c r="F115" i="2"/>
  <c r="G115" i="2"/>
  <c r="E120" i="2"/>
  <c r="E121" i="2"/>
  <c r="C122" i="2"/>
  <c r="E122" i="2"/>
  <c r="E123" i="2"/>
  <c r="E124" i="2"/>
  <c r="C125" i="2"/>
  <c r="E125" i="2"/>
  <c r="F128" i="2"/>
  <c r="G128" i="2"/>
  <c r="E130" i="2"/>
  <c r="F130" i="2"/>
  <c r="D134" i="2"/>
  <c r="D144" i="2" s="1"/>
  <c r="F134" i="2"/>
  <c r="K419" i="1"/>
  <c r="K427" i="1"/>
  <c r="K433" i="1"/>
  <c r="L263" i="1"/>
  <c r="C135" i="2" s="1"/>
  <c r="E135" i="2"/>
  <c r="L264" i="1"/>
  <c r="C136" i="2" s="1"/>
  <c r="L265" i="1"/>
  <c r="C137" i="2" s="1"/>
  <c r="E137" i="2"/>
  <c r="C142"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F32" i="1"/>
  <c r="F52" i="1" s="1"/>
  <c r="G32" i="1"/>
  <c r="G52" i="1" s="1"/>
  <c r="H618" i="1" s="1"/>
  <c r="H32" i="1"/>
  <c r="I32" i="1"/>
  <c r="H617" i="1"/>
  <c r="H51" i="1"/>
  <c r="I51" i="1"/>
  <c r="I52" i="1" s="1"/>
  <c r="H620" i="1" s="1"/>
  <c r="F177" i="1"/>
  <c r="F192" i="1" s="1"/>
  <c r="I177" i="1"/>
  <c r="F183" i="1"/>
  <c r="G183" i="1"/>
  <c r="H183" i="1"/>
  <c r="I183" i="1"/>
  <c r="J183" i="1"/>
  <c r="J192" i="1" s="1"/>
  <c r="F188" i="1"/>
  <c r="G188" i="1"/>
  <c r="G192" i="1" s="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F338" i="1" s="1"/>
  <c r="F352" i="1" s="1"/>
  <c r="G290" i="1"/>
  <c r="H290" i="1"/>
  <c r="I290" i="1"/>
  <c r="F309" i="1"/>
  <c r="G309" i="1"/>
  <c r="H309" i="1"/>
  <c r="I309" i="1"/>
  <c r="F328" i="1"/>
  <c r="G328" i="1"/>
  <c r="H328" i="1"/>
  <c r="I328" i="1"/>
  <c r="F337" i="1"/>
  <c r="G337" i="1"/>
  <c r="H337" i="1"/>
  <c r="I337" i="1"/>
  <c r="J337" i="1"/>
  <c r="J338" i="1" s="1"/>
  <c r="J352" i="1" s="1"/>
  <c r="K337" i="1"/>
  <c r="F362" i="1"/>
  <c r="G362" i="1"/>
  <c r="H362" i="1"/>
  <c r="I362" i="1"/>
  <c r="G634" i="1" s="1"/>
  <c r="J634" i="1" s="1"/>
  <c r="J362" i="1"/>
  <c r="K362" i="1"/>
  <c r="I368" i="1"/>
  <c r="F369" i="1"/>
  <c r="G369" i="1"/>
  <c r="H369" i="1"/>
  <c r="I369" i="1"/>
  <c r="L381" i="1"/>
  <c r="L382" i="1" s="1"/>
  <c r="G636" i="1" s="1"/>
  <c r="J636" i="1" s="1"/>
  <c r="F382" i="1"/>
  <c r="G382" i="1"/>
  <c r="H382" i="1"/>
  <c r="I382" i="1"/>
  <c r="J382" i="1"/>
  <c r="K382" i="1"/>
  <c r="F393" i="1"/>
  <c r="G393" i="1"/>
  <c r="H393" i="1"/>
  <c r="I393" i="1"/>
  <c r="F401" i="1"/>
  <c r="G401" i="1"/>
  <c r="G408" i="1" s="1"/>
  <c r="H645" i="1" s="1"/>
  <c r="H401" i="1"/>
  <c r="I401" i="1"/>
  <c r="F407" i="1"/>
  <c r="G407" i="1"/>
  <c r="H407" i="1"/>
  <c r="I407" i="1"/>
  <c r="F408" i="1"/>
  <c r="H643" i="1" s="1"/>
  <c r="J643" i="1" s="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446" i="1"/>
  <c r="G640" i="1" s="1"/>
  <c r="J640" i="1" s="1"/>
  <c r="H446" i="1"/>
  <c r="F452" i="1"/>
  <c r="G452" i="1"/>
  <c r="H452" i="1"/>
  <c r="F460" i="1"/>
  <c r="F461" i="1" s="1"/>
  <c r="H639" i="1" s="1"/>
  <c r="G460" i="1"/>
  <c r="H460" i="1"/>
  <c r="G461" i="1"/>
  <c r="H461" i="1"/>
  <c r="H641" i="1" s="1"/>
  <c r="J641" i="1" s="1"/>
  <c r="F470" i="1"/>
  <c r="F476" i="1" s="1"/>
  <c r="H622" i="1" s="1"/>
  <c r="G470" i="1"/>
  <c r="H470" i="1"/>
  <c r="I470" i="1"/>
  <c r="J470" i="1"/>
  <c r="J476" i="1" s="1"/>
  <c r="H626" i="1" s="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K545" i="1" s="1"/>
  <c r="F534" i="1"/>
  <c r="G534" i="1"/>
  <c r="H534" i="1"/>
  <c r="I534" i="1"/>
  <c r="J534" i="1"/>
  <c r="K534" i="1"/>
  <c r="F539" i="1"/>
  <c r="G539" i="1"/>
  <c r="H539" i="1"/>
  <c r="I539" i="1"/>
  <c r="J539" i="1"/>
  <c r="K539" i="1"/>
  <c r="F544" i="1"/>
  <c r="G544" i="1"/>
  <c r="H544" i="1"/>
  <c r="I544" i="1"/>
  <c r="J544" i="1"/>
  <c r="K544" i="1"/>
  <c r="L557" i="1"/>
  <c r="L560" i="1" s="1"/>
  <c r="L558" i="1"/>
  <c r="L559" i="1"/>
  <c r="F560" i="1"/>
  <c r="F571" i="1" s="1"/>
  <c r="G560" i="1"/>
  <c r="H560" i="1"/>
  <c r="I560" i="1"/>
  <c r="I571" i="1" s="1"/>
  <c r="J560" i="1"/>
  <c r="K560" i="1"/>
  <c r="L562" i="1"/>
  <c r="L563" i="1"/>
  <c r="L565" i="1" s="1"/>
  <c r="L564" i="1"/>
  <c r="F565" i="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20" i="1"/>
  <c r="G622" i="1"/>
  <c r="G623" i="1"/>
  <c r="G625" i="1"/>
  <c r="H627" i="1"/>
  <c r="H628" i="1"/>
  <c r="H629" i="1"/>
  <c r="H630" i="1"/>
  <c r="H631" i="1"/>
  <c r="H632" i="1"/>
  <c r="H633" i="1"/>
  <c r="H634" i="1"/>
  <c r="H635" i="1"/>
  <c r="H636" i="1"/>
  <c r="H637" i="1"/>
  <c r="H638" i="1"/>
  <c r="G639" i="1"/>
  <c r="H640" i="1"/>
  <c r="G641" i="1"/>
  <c r="G643" i="1"/>
  <c r="G644" i="1"/>
  <c r="J644" i="1" s="1"/>
  <c r="H644" i="1"/>
  <c r="G645" i="1"/>
  <c r="G650" i="1"/>
  <c r="G652" i="1"/>
  <c r="H652" i="1"/>
  <c r="G653" i="1"/>
  <c r="H653" i="1"/>
  <c r="G654" i="1"/>
  <c r="H654" i="1"/>
  <c r="H655" i="1"/>
  <c r="C26" i="10"/>
  <c r="D50" i="2"/>
  <c r="G62" i="2"/>
  <c r="E78" i="2"/>
  <c r="L427" i="1"/>
  <c r="K571" i="1"/>
  <c r="I169" i="1"/>
  <c r="I476" i="1"/>
  <c r="H625" i="1" s="1"/>
  <c r="J625" i="1" s="1"/>
  <c r="J140" i="1"/>
  <c r="G22" i="2"/>
  <c r="H140" i="1"/>
  <c r="L393" i="1"/>
  <c r="C138" i="2" s="1"/>
  <c r="L309" i="1"/>
  <c r="L570" i="1"/>
  <c r="G36" i="2"/>
  <c r="J545" i="1" l="1"/>
  <c r="F81" i="2"/>
  <c r="E81" i="2"/>
  <c r="F18" i="2"/>
  <c r="C18" i="2"/>
  <c r="G157" i="2"/>
  <c r="E103" i="2"/>
  <c r="D91" i="2"/>
  <c r="E31" i="2"/>
  <c r="D17" i="13"/>
  <c r="E16" i="13"/>
  <c r="J552" i="1"/>
  <c r="L544" i="1"/>
  <c r="L614" i="1"/>
  <c r="G552" i="1"/>
  <c r="L539" i="1"/>
  <c r="K551" i="1"/>
  <c r="I545" i="1"/>
  <c r="K550" i="1"/>
  <c r="H545" i="1"/>
  <c r="G545" i="1"/>
  <c r="K549" i="1"/>
  <c r="H552" i="1"/>
  <c r="F552" i="1"/>
  <c r="L524" i="1"/>
  <c r="K503" i="1"/>
  <c r="G164" i="2"/>
  <c r="G161" i="2"/>
  <c r="G156" i="2"/>
  <c r="C29" i="10"/>
  <c r="K338" i="1"/>
  <c r="K352" i="1" s="1"/>
  <c r="F661" i="1"/>
  <c r="H661" i="1"/>
  <c r="D127" i="2"/>
  <c r="D128" i="2" s="1"/>
  <c r="D145" i="2" s="1"/>
  <c r="G661" i="1"/>
  <c r="K605" i="1"/>
  <c r="G648" i="1" s="1"/>
  <c r="C21" i="10"/>
  <c r="K598" i="1"/>
  <c r="G647" i="1" s="1"/>
  <c r="J647" i="1" s="1"/>
  <c r="L419" i="1"/>
  <c r="J645" i="1"/>
  <c r="C17" i="10"/>
  <c r="I257" i="1"/>
  <c r="I271" i="1" s="1"/>
  <c r="C120" i="2"/>
  <c r="E118" i="2"/>
  <c r="E128" i="2" s="1"/>
  <c r="L328" i="1"/>
  <c r="E110" i="2"/>
  <c r="C11" i="10"/>
  <c r="L290" i="1"/>
  <c r="G338" i="1"/>
  <c r="G352" i="1" s="1"/>
  <c r="E115" i="2"/>
  <c r="C130" i="2"/>
  <c r="G22" i="13"/>
  <c r="C22" i="13" s="1"/>
  <c r="L256" i="1"/>
  <c r="I25" i="13"/>
  <c r="C25" i="13" s="1"/>
  <c r="L270" i="1"/>
  <c r="G651" i="1"/>
  <c r="J651" i="1" s="1"/>
  <c r="C124" i="2"/>
  <c r="C123" i="2"/>
  <c r="C18" i="10"/>
  <c r="C118" i="2"/>
  <c r="D7" i="13"/>
  <c r="C7" i="13" s="1"/>
  <c r="C112" i="2"/>
  <c r="C110" i="2"/>
  <c r="L247" i="1"/>
  <c r="H660" i="1" s="1"/>
  <c r="H257" i="1"/>
  <c r="H271" i="1" s="1"/>
  <c r="F662" i="1"/>
  <c r="I662" i="1" s="1"/>
  <c r="G649" i="1"/>
  <c r="J649" i="1" s="1"/>
  <c r="C20" i="10"/>
  <c r="K257" i="1"/>
  <c r="K271" i="1" s="1"/>
  <c r="C121" i="2"/>
  <c r="C119" i="2"/>
  <c r="C15" i="10"/>
  <c r="F257" i="1"/>
  <c r="F271" i="1" s="1"/>
  <c r="L211" i="1"/>
  <c r="J257" i="1"/>
  <c r="J271" i="1" s="1"/>
  <c r="H476" i="1"/>
  <c r="H624" i="1" s="1"/>
  <c r="G476" i="1"/>
  <c r="H623" i="1" s="1"/>
  <c r="J623" i="1" s="1"/>
  <c r="J655" i="1"/>
  <c r="E57" i="2"/>
  <c r="E62" i="2" s="1"/>
  <c r="E63" i="2" s="1"/>
  <c r="C91" i="2"/>
  <c r="C70" i="2"/>
  <c r="C56" i="2"/>
  <c r="C35" i="10"/>
  <c r="C36" i="10" s="1"/>
  <c r="J622" i="1"/>
  <c r="J617" i="1"/>
  <c r="D31" i="2"/>
  <c r="D18" i="2"/>
  <c r="H52" i="1"/>
  <c r="H619" i="1" s="1"/>
  <c r="J619" i="1" s="1"/>
  <c r="J639" i="1"/>
  <c r="L362" i="1"/>
  <c r="G635" i="1" s="1"/>
  <c r="J635" i="1" s="1"/>
  <c r="D18" i="13"/>
  <c r="C18" i="13" s="1"/>
  <c r="C17" i="13"/>
  <c r="D15" i="13"/>
  <c r="C15" i="13" s="1"/>
  <c r="D6" i="13"/>
  <c r="C6" i="13" s="1"/>
  <c r="E13" i="13"/>
  <c r="C13" i="13" s="1"/>
  <c r="G257" i="1"/>
  <c r="G271" i="1" s="1"/>
  <c r="C81" i="2"/>
  <c r="L529" i="1"/>
  <c r="E134" i="2"/>
  <c r="G81" i="2"/>
  <c r="C62" i="2"/>
  <c r="C63" i="2" s="1"/>
  <c r="G624" i="1"/>
  <c r="J624" i="1" s="1"/>
  <c r="L534" i="1"/>
  <c r="K500" i="1"/>
  <c r="I460" i="1"/>
  <c r="I452" i="1"/>
  <c r="I446" i="1"/>
  <c r="G642" i="1" s="1"/>
  <c r="H338" i="1"/>
  <c r="H352" i="1" s="1"/>
  <c r="G112" i="1"/>
  <c r="D19" i="13"/>
  <c r="C19" i="13" s="1"/>
  <c r="D14" i="13"/>
  <c r="C14" i="13" s="1"/>
  <c r="A13" i="12"/>
  <c r="D29" i="13"/>
  <c r="C29" i="13" s="1"/>
  <c r="D12" i="13"/>
  <c r="C12" i="13" s="1"/>
  <c r="D5" i="13"/>
  <c r="C5" i="13" s="1"/>
  <c r="E8" i="13"/>
  <c r="C8" i="13" s="1"/>
  <c r="C16" i="10"/>
  <c r="C10" i="10"/>
  <c r="C109" i="2"/>
  <c r="L229" i="1"/>
  <c r="G24" i="14" s="1"/>
  <c r="C16" i="13"/>
  <c r="L337" i="1"/>
  <c r="F62" i="2"/>
  <c r="F63" i="2" s="1"/>
  <c r="C23" i="10"/>
  <c r="G163" i="2"/>
  <c r="G162" i="2"/>
  <c r="G160" i="2"/>
  <c r="G159" i="2"/>
  <c r="G158" i="2"/>
  <c r="G103" i="2"/>
  <c r="F103" i="2"/>
  <c r="C103" i="2"/>
  <c r="F91" i="2"/>
  <c r="E50" i="2"/>
  <c r="C50" i="2"/>
  <c r="F31" i="2"/>
  <c r="C31" i="2"/>
  <c r="E18" i="2"/>
  <c r="E144" i="2"/>
  <c r="F50" i="2"/>
  <c r="F51" i="2" s="1"/>
  <c r="C24" i="10"/>
  <c r="G660" i="1"/>
  <c r="H31" i="13"/>
  <c r="H33" i="13" s="1"/>
  <c r="I338" i="1"/>
  <c r="I352" i="1" s="1"/>
  <c r="J650" i="1"/>
  <c r="L407" i="1"/>
  <c r="C140" i="2" s="1"/>
  <c r="C141"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F193" i="1" s="1"/>
  <c r="G627" i="1" s="1"/>
  <c r="J627" i="1" s="1"/>
  <c r="G63" i="2"/>
  <c r="J618" i="1"/>
  <c r="G42" i="2"/>
  <c r="G50" i="2" s="1"/>
  <c r="G51" i="2" s="1"/>
  <c r="J51" i="1"/>
  <c r="G16" i="2"/>
  <c r="G18" i="2" s="1"/>
  <c r="J19" i="1"/>
  <c r="G621" i="1" s="1"/>
  <c r="F545" i="1"/>
  <c r="H434" i="1"/>
  <c r="J620" i="1"/>
  <c r="D103" i="2"/>
  <c r="D104" i="2" s="1"/>
  <c r="I140" i="1"/>
  <c r="I193" i="1" s="1"/>
  <c r="G630" i="1" s="1"/>
  <c r="J630" i="1" s="1"/>
  <c r="A22" i="12"/>
  <c r="J652" i="1"/>
  <c r="G571" i="1"/>
  <c r="I434" i="1"/>
  <c r="G434" i="1"/>
  <c r="I663" i="1"/>
  <c r="G664" i="1" l="1"/>
  <c r="F104" i="2"/>
  <c r="I33" i="13"/>
  <c r="E51" i="2"/>
  <c r="K552" i="1"/>
  <c r="L545" i="1"/>
  <c r="C27" i="10"/>
  <c r="C28" i="10" s="1"/>
  <c r="D23" i="10" s="1"/>
  <c r="I661" i="1"/>
  <c r="H664" i="1"/>
  <c r="H667" i="1" s="1"/>
  <c r="C144" i="2"/>
  <c r="E33" i="13"/>
  <c r="D35" i="13" s="1"/>
  <c r="L338" i="1"/>
  <c r="L352" i="1" s="1"/>
  <c r="G633" i="1" s="1"/>
  <c r="J633" i="1" s="1"/>
  <c r="E145" i="2"/>
  <c r="G33" i="13"/>
  <c r="C128" i="2"/>
  <c r="L257" i="1"/>
  <c r="L271" i="1" s="1"/>
  <c r="G632" i="1" s="1"/>
  <c r="J632" i="1" s="1"/>
  <c r="G36" i="14"/>
  <c r="H36" i="14" s="1"/>
  <c r="I36" i="14" s="1"/>
  <c r="C115" i="2"/>
  <c r="G4" i="14"/>
  <c r="H4" i="14" s="1"/>
  <c r="I4" i="14" s="1"/>
  <c r="F660" i="1"/>
  <c r="F664" i="1" s="1"/>
  <c r="F672" i="1" s="1"/>
  <c r="C4" i="10" s="1"/>
  <c r="H648" i="1"/>
  <c r="J648" i="1" s="1"/>
  <c r="G104" i="2"/>
  <c r="E104" i="2"/>
  <c r="C104" i="2"/>
  <c r="H646" i="1"/>
  <c r="J646" i="1" s="1"/>
  <c r="D31" i="13"/>
  <c r="C31" i="13" s="1"/>
  <c r="I461" i="1"/>
  <c r="H642" i="1" s="1"/>
  <c r="J642" i="1" s="1"/>
  <c r="H24" i="14"/>
  <c r="I24" i="14" s="1"/>
  <c r="G667" i="1"/>
  <c r="G672" i="1"/>
  <c r="C5" i="10" s="1"/>
  <c r="C51" i="2"/>
  <c r="G631" i="1"/>
  <c r="J631" i="1" s="1"/>
  <c r="G193" i="1"/>
  <c r="G628" i="1" s="1"/>
  <c r="J628" i="1" s="1"/>
  <c r="G626" i="1"/>
  <c r="J626" i="1" s="1"/>
  <c r="J52" i="1"/>
  <c r="H621" i="1" s="1"/>
  <c r="J621" i="1" s="1"/>
  <c r="C38" i="10"/>
  <c r="H672" i="1" l="1"/>
  <c r="C6" i="10" s="1"/>
  <c r="C145" i="2"/>
  <c r="I660" i="1"/>
  <c r="I664" i="1" s="1"/>
  <c r="I672" i="1" s="1"/>
  <c r="C7" i="10" s="1"/>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<sst xmlns="http://schemas.openxmlformats.org/spreadsheetml/2006/main" count="5524" uniqueCount="1621">
  <si>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</si>
  <si>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</si>
  <si>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</si>
  <si>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</si>
  <si>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</si>
  <si>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</si>
  <si>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</si>
  <si>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</si>
  <si>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</si>
  <si>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</si>
  <si>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</si>
  <si>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</si>
  <si>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</si>
  <si>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</si>
  <si>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</si>
  <si>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</si>
  <si>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</si>
  <si>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</si>
  <si>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</si>
  <si>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</si>
  <si>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</si>
  <si>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</si>
  <si>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</si>
  <si>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</si>
  <si>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</si>
  <si>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</si>
  <si>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</si>
  <si>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</si>
  <si>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</si>
  <si>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</si>
  <si>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</si>
  <si>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</si>
  <si>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</si>
  <si>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</si>
  <si>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</si>
  <si>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</si>
  <si>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</si>
  <si>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</si>
  <si>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</si>
  <si>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</si>
  <si>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</si>
  <si>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</si>
  <si>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</si>
  <si>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</si>
  <si>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</si>
  <si>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</si>
  <si>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</si>
  <si>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</si>
  <si>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</si>
  <si>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</si>
  <si>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</si>
  <si>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</si>
  <si>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</si>
  <si>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</si>
  <si>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</si>
  <si>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</si>
  <si>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</si>
  <si>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</si>
  <si>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</si>
  <si>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</si>
  <si>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</si>
  <si>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</si>
  <si>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</si>
  <si>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</si>
  <si>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</si>
  <si>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</si>
  <si>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</si>
  <si>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</si>
  <si>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</si>
  <si>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</si>
  <si>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</si>
  <si>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</si>
  <si>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</si>
  <si>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</si>
  <si>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</si>
  <si>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</si>
  <si>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</si>
  <si>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</si>
  <si>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</si>
  <si>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</si>
  <si>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</si>
  <si>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</si>
  <si>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</si>
  <si>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</si>
  <si>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</si>
  <si>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</si>
  <si>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</si>
  <si>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</si>
  <si>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</si>
  <si>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</si>
  <si>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</si>
  <si>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</si>
  <si>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</si>
  <si>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</si>
  <si>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</si>
  <si>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</si>
  <si>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</si>
  <si>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</si>
  <si>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</si>
  <si>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</si>
  <si>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</si>
  <si>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</si>
  <si>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</si>
  <si>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</si>
  <si>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</si>
  <si>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</si>
  <si>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</si>
  <si>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</si>
  <si>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</si>
  <si>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</si>
  <si>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</si>
  <si>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</si>
  <si>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</si>
  <si>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</si>
  <si>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</si>
  <si>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</si>
  <si>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</si>
  <si>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</si>
  <si>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</si>
  <si>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</si>
  <si>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</si>
  <si>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</si>
  <si>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</si>
  <si>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</si>
  <si>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</si>
  <si>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</si>
  <si>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</si>
  <si>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</si>
  <si>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</si>
  <si>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</si>
  <si>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</si>
  <si>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</si>
  <si>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</si>
  <si>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</si>
  <si>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</si>
  <si>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</si>
  <si>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</si>
  <si>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</si>
  <si>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</si>
  <si>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</si>
  <si>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</si>
  <si>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</si>
  <si>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</si>
  <si>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</si>
  <si>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</si>
  <si>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</si>
  <si>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</si>
  <si>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</si>
  <si>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</si>
  <si>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</si>
  <si>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</si>
  <si>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</si>
  <si>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</si>
  <si>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</si>
  <si>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</si>
  <si>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</si>
  <si>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</si>
  <si>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</si>
  <si>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</si>
  <si>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</si>
  <si>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</si>
  <si>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</si>
  <si>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</si>
  <si>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</si>
  <si>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</si>
  <si>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</si>
  <si>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</si>
  <si>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</si>
  <si>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</si>
  <si>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</si>
  <si>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</si>
  <si>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</si>
  <si>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</si>
  <si>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</si>
  <si>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</si>
  <si>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</si>
  <si>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</si>
  <si>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</si>
  <si>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</si>
  <si>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</si>
  <si>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</si>
  <si>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</si>
  <si>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</si>
  <si>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</si>
  <si>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</si>
  <si>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</si>
  <si>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</si>
  <si>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</si>
  <si>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</si>
  <si>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</si>
  <si>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</si>
  <si>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</si>
  <si>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</si>
  <si>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</si>
  <si>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</si>
  <si>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</si>
  <si>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</si>
  <si>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</si>
  <si>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</si>
  <si>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</si>
  <si>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</si>
  <si>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</si>
  <si>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</si>
  <si>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</si>
  <si>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</si>
  <si>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</si>
  <si>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</si>
  <si>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</si>
  <si>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</si>
  <si>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</si>
  <si>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</si>
  <si>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</si>
  <si>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</si>
  <si>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</si>
  <si>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</si>
  <si>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</si>
  <si>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</si>
  <si>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</si>
  <si>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</si>
  <si>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</si>
  <si>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</si>
  <si>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</si>
  <si>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</si>
  <si>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</si>
  <si>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</si>
  <si>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</si>
  <si>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</si>
  <si>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</si>
  <si>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</si>
  <si>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</si>
  <si>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</si>
  <si>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</si>
  <si>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</si>
  <si>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</si>
  <si>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</si>
  <si>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</si>
  <si>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</si>
  <si>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</si>
  <si>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</si>
  <si>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</si>
  <si>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</si>
  <si>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</si>
  <si>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</si>
  <si>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</si>
  <si>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</si>
  <si>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</si>
  <si>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</si>
  <si>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</si>
  <si>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</si>
  <si>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</si>
  <si>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</si>
  <si>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</si>
  <si>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</si>
  <si>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</si>
  <si>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</si>
  <si>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</si>
  <si>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</si>
  <si>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</si>
  <si>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</si>
  <si>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</si>
  <si>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</si>
  <si>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</si>
  <si>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</si>
  <si>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</si>
  <si>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</si>
  <si>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</si>
  <si>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</si>
  <si>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</si>
  <si>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</si>
  <si>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</si>
  <si>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</si>
  <si>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</si>
  <si>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</si>
  <si>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</si>
  <si>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</si>
  <si>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</si>
  <si>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</si>
  <si>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</si>
  <si>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</si>
  <si>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</si>
  <si>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</si>
  <si>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</si>
  <si>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</si>
  <si>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</si>
  <si>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</si>
  <si>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</si>
  <si>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</si>
  <si>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</si>
  <si>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</si>
  <si>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</si>
  <si>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</si>
  <si>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</si>
  <si>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</si>
  <si>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</si>
  <si>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</si>
  <si>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</si>
  <si>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</si>
  <si>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</si>
  <si>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</si>
  <si>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</si>
  <si>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</si>
  <si>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</si>
  <si>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</si>
  <si>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</si>
  <si>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</si>
  <si>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</si>
  <si>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</si>
  <si>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</si>
  <si>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</si>
  <si>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</si>
  <si>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</si>
  <si>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</si>
  <si>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</si>
  <si>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</si>
  <si>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</si>
  <si>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</si>
  <si>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</si>
  <si>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</si>
  <si>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</si>
  <si>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</si>
  <si>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</si>
  <si>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</si>
  <si>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</si>
  <si>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</si>
  <si>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</si>
  <si>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</si>
  <si>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</si>
  <si>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</si>
  <si>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</si>
  <si>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</si>
  <si>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</si>
  <si>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</si>
  <si>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</si>
  <si>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</si>
  <si>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</si>
  <si>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</si>
  <si>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</si>
  <si>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</si>
  <si>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</si>
  <si>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</si>
  <si>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</si>
  <si>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</si>
  <si>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</si>
  <si>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</si>
  <si>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</si>
  <si>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</si>
  <si>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</si>
  <si>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</si>
  <si>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</si>
  <si>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</si>
  <si>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</si>
  <si>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</si>
  <si>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</si>
  <si>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</si>
  <si>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</si>
  <si>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</si>
  <si>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</si>
  <si>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</si>
  <si>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</si>
  <si>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</si>
  <si>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</si>
  <si>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</si>
  <si>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</si>
  <si>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</si>
  <si>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</si>
  <si>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</si>
  <si>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</si>
  <si>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</si>
  <si>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</si>
  <si>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</si>
  <si>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</si>
  <si>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</si>
  <si>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</si>
  <si>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</si>
  <si>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</si>
  <si>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</si>
  <si>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</si>
  <si>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</si>
  <si>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</si>
  <si>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</si>
  <si>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</si>
  <si>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</si>
  <si>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</si>
  <si>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</si>
  <si>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</si>
  <si>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</si>
  <si>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</si>
  <si>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</si>
  <si>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</si>
  <si>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</si>
  <si>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</si>
  <si>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</si>
  <si>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</si>
  <si>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</si>
  <si>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</si>
  <si>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</si>
  <si>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</si>
  <si>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</si>
  <si>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</si>
  <si>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</si>
  <si>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</si>
  <si>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</si>
  <si>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</si>
  <si>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</si>
  <si>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</si>
  <si>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</si>
  <si>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</si>
  <si>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</si>
  <si>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</si>
  <si>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</si>
  <si>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</si>
  <si>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</si>
  <si>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</si>
  <si>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</si>
  <si>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</si>
  <si>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</si>
  <si>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</si>
  <si>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</si>
  <si>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</si>
  <si>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</si>
  <si>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</si>
  <si>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</si>
  <si>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</si>
  <si>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</si>
  <si>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</si>
  <si>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</si>
  <si>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</si>
  <si>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</si>
  <si>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</si>
  <si>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</si>
  <si>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</si>
  <si>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</si>
  <si>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</si>
  <si>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</si>
  <si>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</si>
  <si>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</si>
  <si>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</si>
  <si>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</si>
  <si>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</si>
  <si>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</si>
  <si>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</si>
  <si>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</si>
  <si>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</si>
  <si>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</si>
  <si>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</si>
  <si>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</si>
  <si>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</si>
  <si>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</si>
  <si>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</si>
  <si>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</si>
  <si>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</si>
  <si>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</si>
  <si>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</si>
  <si>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</si>
  <si>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</si>
  <si>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</si>
  <si>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</si>
  <si>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</si>
  <si>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</si>
  <si>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</si>
  <si>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</si>
  <si>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</si>
  <si>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</si>
  <si>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</si>
  <si>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</si>
  <si>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</si>
  <si>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</si>
  <si>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</si>
  <si>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</si>
  <si>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</si>
  <si>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</si>
  <si>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</si>
  <si>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</si>
  <si>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</si>
  <si>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</si>
  <si>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</si>
  <si>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</si>
  <si>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</si>
  <si>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</si>
  <si>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</si>
  <si>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</si>
  <si>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</si>
  <si>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</si>
  <si>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</si>
  <si>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</si>
  <si>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</si>
  <si>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</si>
  <si>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</si>
  <si>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</si>
  <si>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</si>
  <si>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</si>
  <si>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</si>
  <si>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</si>
  <si>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</si>
  <si>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</si>
  <si>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</si>
  <si>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</si>
  <si>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</si>
  <si>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</si>
  <si>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</si>
  <si>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</si>
  <si>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</si>
  <si>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</si>
  <si>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</si>
  <si>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</si>
  <si>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</si>
  <si>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</si>
  <si>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</si>
  <si>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</si>
  <si>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</si>
  <si>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</si>
  <si>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</si>
  <si>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</si>
  <si>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</si>
  <si>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</si>
  <si>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</si>
  <si>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</si>
  <si>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</si>
  <si>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</si>
  <si>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</si>
  <si>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</si>
  <si>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</si>
  <si>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</si>
  <si>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</si>
  <si>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</si>
  <si>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</si>
  <si>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</si>
  <si>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</si>
  <si>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</si>
  <si>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</si>
  <si>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</si>
  <si>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</si>
  <si>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</si>
  <si>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</si>
  <si>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</si>
  <si>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</si>
  <si>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</si>
  <si>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</si>
  <si>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</si>
  <si>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</si>
  <si>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</si>
  <si>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</si>
  <si>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</si>
  <si>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</si>
  <si>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</si>
  <si>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</si>
  <si>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</si>
  <si>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</si>
  <si>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</si>
  <si>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</si>
  <si>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</si>
  <si>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</si>
  <si>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</si>
  <si>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</si>
  <si>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</si>
  <si>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</si>
  <si>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</si>
  <si>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</si>
  <si>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</si>
  <si>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</si>
  <si>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</si>
  <si>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</si>
  <si>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</si>
  <si>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</si>
  <si>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</si>
  <si>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</si>
  <si>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</si>
  <si>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</si>
  <si>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</si>
  <si>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</si>
  <si>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</si>
  <si>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</si>
  <si>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</si>
  <si>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</si>
  <si>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</si>
  <si>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</si>
  <si>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</si>
  <si>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</si>
  <si>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</si>
  <si>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</si>
  <si>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</si>
  <si>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</si>
  <si>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</si>
  <si>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</si>
  <si>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</si>
  <si>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</si>
  <si>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</si>
  <si>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</si>
  <si>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</si>
  <si>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</si>
  <si>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</si>
  <si>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</si>
  <si>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</si>
  <si>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</si>
  <si>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</si>
  <si>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</si>
  <si>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</si>
  <si>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</si>
  <si>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</si>
  <si>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</si>
  <si>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</si>
  <si>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</si>
  <si>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</si>
  <si>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</si>
  <si>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</si>
  <si>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</si>
  <si>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</si>
  <si>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</si>
  <si>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</si>
  <si>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</si>
  <si>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</si>
  <si>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</si>
  <si>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</si>
  <si>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</si>
  <si>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</si>
  <si>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</si>
  <si>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</si>
  <si>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</si>
  <si>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</si>
  <si>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</si>
  <si>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</si>
  <si>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</si>
  <si>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</si>
  <si>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</si>
  <si>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</si>
  <si>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</si>
  <si>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</si>
  <si>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</si>
  <si>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</si>
  <si>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</si>
  <si>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</si>
  <si>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</si>
  <si>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</si>
  <si>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</si>
  <si>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</si>
  <si>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</si>
  <si>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</si>
  <si>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</si>
  <si>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</si>
  <si>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</si>
  <si>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</si>
  <si>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</si>
  <si>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</si>
  <si>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</si>
  <si>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</si>
  <si>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</si>
  <si>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</si>
  <si>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</si>
  <si>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</si>
  <si>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</si>
  <si>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</si>
  <si>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</si>
  <si>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</si>
  <si>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</si>
  <si>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</si>
  <si>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</si>
  <si>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</si>
  <si>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</si>
  <si>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</si>
  <si>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</si>
  <si>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</si>
  <si>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</si>
  <si>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</si>
  <si>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</si>
  <si>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</si>
  <si>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</si>
  <si>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</si>
  <si>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</si>
  <si>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</si>
  <si>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</si>
  <si>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</si>
  <si>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</si>
  <si>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</si>
  <si>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</si>
  <si>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</si>
  <si>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</si>
  <si>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</si>
  <si>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</si>
  <si>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</si>
  <si>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</si>
  <si>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</si>
  <si>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</si>
  <si>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</si>
  <si>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</si>
  <si>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</si>
  <si>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</si>
  <si>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</si>
  <si>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</si>
  <si>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</si>
  <si>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</si>
  <si>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</si>
  <si>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</si>
  <si>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</si>
  <si>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</si>
  <si>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</si>
  <si>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</si>
  <si>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</si>
  <si>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</si>
  <si>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</si>
  <si>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</si>
  <si>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</si>
  <si>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</si>
  <si>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</si>
  <si>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</si>
  <si>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</si>
  <si>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</si>
  <si>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</si>
  <si>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</si>
  <si>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</si>
  <si>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</si>
  <si>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</si>
  <si>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</si>
  <si>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</si>
  <si>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</si>
  <si>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</si>
  <si>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</si>
  <si>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</si>
  <si>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</si>
  <si>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</si>
  <si>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</si>
  <si>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</si>
  <si>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</si>
  <si>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</si>
  <si>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</si>
  <si>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</si>
  <si>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</si>
  <si>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</si>
  <si>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</si>
  <si>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</si>
  <si>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</si>
  <si>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</si>
  <si>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</si>
  <si>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</si>
  <si>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</si>
  <si>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</si>
  <si>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</si>
  <si>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</si>
  <si>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</si>
  <si>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</si>
  <si>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</si>
  <si>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</si>
  <si>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</si>
  <si>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</si>
  <si>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</si>
  <si>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</si>
  <si>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</si>
  <si>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</si>
  <si>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</si>
  <si>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</si>
  <si>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</si>
  <si>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</si>
  <si>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</si>
  <si>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</si>
  <si>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</si>
  <si>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</si>
  <si>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</si>
  <si>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</si>
  <si>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</si>
  <si>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</si>
  <si>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</si>
  <si>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</si>
  <si>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</si>
  <si>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</si>
  <si>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</si>
  <si>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</si>
  <si>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</si>
  <si>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</si>
  <si>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</si>
  <si>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</si>
  <si>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</si>
  <si>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</si>
  <si>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</si>
  <si>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</si>
  <si>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</si>
  <si>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</si>
  <si>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</si>
  <si>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</si>
  <si>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</si>
  <si>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</si>
  <si>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</si>
  <si>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</si>
  <si>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</si>
  <si>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</si>
  <si>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</si>
  <si>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</si>
  <si>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</si>
  <si>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</si>
  <si>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</si>
  <si>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</si>
  <si>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</si>
  <si>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</si>
  <si>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</si>
  <si>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</si>
  <si>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</si>
  <si>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</si>
  <si>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</si>
  <si>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</si>
  <si>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</si>
  <si>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</si>
  <si>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</si>
  <si>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</si>
  <si>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</si>
  <si>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</si>
  <si>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</si>
  <si>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</si>
  <si>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</si>
  <si>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</si>
  <si>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</si>
  <si>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</si>
  <si>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</si>
  <si>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</si>
  <si>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</si>
  <si>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</si>
  <si>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</si>
  <si>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</si>
  <si>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</si>
  <si>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</si>
  <si>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</si>
  <si>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</si>
  <si>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</si>
  <si>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</si>
  <si>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</si>
  <si>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</si>
  <si>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</si>
  <si>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</si>
  <si>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</si>
  <si>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</si>
  <si>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</si>
  <si>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</si>
  <si>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</si>
  <si>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</si>
  <si>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</si>
  <si>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</si>
  <si>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</si>
  <si>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</si>
  <si>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</si>
  <si>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</si>
  <si>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</si>
  <si>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</si>
  <si>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</si>
  <si>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</si>
  <si>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</si>
  <si>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</si>
  <si>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</si>
  <si>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</si>
  <si>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</si>
  <si>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</si>
  <si>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</si>
  <si>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</si>
  <si>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</si>
  <si>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</si>
  <si>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</si>
  <si>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</si>
  <si>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</si>
  <si>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</si>
  <si>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</si>
  <si>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</si>
  <si>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</si>
  <si>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</si>
  <si>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</si>
  <si>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</si>
  <si>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</si>
  <si>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</si>
  <si>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</si>
  <si>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</si>
  <si>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</si>
  <si>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</si>
  <si>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</si>
  <si>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</si>
  <si>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</si>
  <si>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</si>
  <si>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</si>
  <si>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</si>
  <si>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</si>
  <si>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</si>
  <si>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</si>
  <si>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</si>
  <si>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</si>
  <si>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</si>
  <si>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</si>
  <si>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</si>
  <si>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</si>
  <si>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</si>
  <si>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</si>
  <si>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</si>
  <si>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</si>
  <si>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</si>
  <si>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</si>
  <si>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</si>
  <si>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</si>
  <si>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</si>
  <si>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</si>
  <si>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</si>
  <si>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</si>
  <si>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</si>
  <si>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</si>
  <si>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</si>
  <si>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</si>
  <si>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</si>
  <si>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</si>
  <si>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</si>
  <si>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</si>
  <si>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</si>
  <si>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</si>
  <si>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</si>
  <si>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</si>
  <si>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</si>
  <si>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</si>
  <si>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</si>
  <si>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</si>
  <si>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</si>
  <si>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</si>
  <si>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</si>
  <si>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</si>
  <si>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</si>
  <si>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</si>
  <si>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</si>
  <si>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</si>
  <si>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</si>
  <si>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</si>
  <si>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</si>
  <si>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</si>
  <si>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</si>
  <si>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</si>
  <si>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</si>
  <si>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</si>
  <si>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</si>
  <si>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</si>
  <si>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</si>
  <si>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</si>
  <si>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</si>
  <si>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</si>
  <si>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</si>
  <si>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</si>
  <si>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</si>
  <si>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</si>
  <si>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</si>
  <si>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</si>
  <si>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</si>
  <si>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</si>
  <si>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</si>
  <si>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</si>
  <si>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</si>
  <si>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</si>
  <si>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</si>
  <si>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</si>
  <si>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</si>
  <si>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</si>
  <si>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</si>
  <si>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</si>
  <si>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</si>
  <si>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</si>
  <si>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</si>
  <si>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</si>
  <si>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</si>
  <si>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</si>
  <si>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</si>
  <si>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</si>
  <si>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</si>
  <si>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</si>
  <si>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</si>
  <si>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</si>
  <si>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</si>
  <si>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</si>
  <si>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</si>
  <si>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</si>
  <si>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</si>
  <si>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</si>
  <si>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</si>
  <si>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</si>
  <si>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</si>
  <si>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</si>
  <si>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</si>
  <si>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</si>
  <si>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</si>
  <si>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</si>
  <si>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</si>
  <si>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</si>
  <si>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</si>
  <si>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</si>
  <si>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</si>
  <si>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</si>
  <si>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</si>
  <si>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</si>
  <si>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</si>
  <si>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</si>
  <si>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</si>
  <si>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</si>
  <si>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</si>
  <si>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</si>
  <si>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</si>
  <si>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</si>
  <si>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</si>
  <si>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</si>
  <si>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</si>
  <si>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</si>
  <si>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</si>
  <si>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</si>
  <si>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</si>
  <si>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</si>
  <si>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</si>
  <si>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</si>
  <si>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</si>
  <si>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</si>
  <si>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</si>
  <si>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</si>
  <si>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</si>
  <si>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</si>
  <si>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</si>
  <si>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</si>
  <si>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</si>
  <si>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</si>
  <si>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</si>
  <si>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</si>
  <si>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</si>
  <si>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</si>
  <si>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</si>
  <si>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</si>
  <si>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</si>
  <si>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</si>
  <si>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</si>
  <si>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</si>
  <si>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</si>
  <si>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</si>
  <si>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</si>
  <si>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</si>
  <si>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</si>
  <si>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</si>
  <si>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</si>
  <si>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</si>
  <si>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</si>
  <si>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</si>
  <si>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</si>
  <si>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</si>
  <si>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</si>
  <si>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</si>
  <si>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</si>
  <si>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</si>
  <si>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</si>
  <si>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</si>
  <si>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</si>
  <si>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</si>
  <si>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</si>
  <si>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</si>
  <si>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</si>
  <si>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</si>
  <si>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</si>
  <si>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</si>
  <si>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</si>
  <si>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</si>
  <si>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</si>
  <si>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</si>
  <si>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</si>
  <si>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</si>
  <si>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</si>
  <si>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</si>
  <si>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</si>
  <si>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</si>
  <si>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</si>
  <si>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</si>
  <si>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</si>
  <si>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</si>
  <si>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</si>
  <si>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</si>
  <si>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</si>
  <si>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</si>
  <si>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</si>
  <si>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</si>
  <si>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</si>
  <si>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</si>
  <si>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</si>
  <si>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</si>
  <si>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</si>
  <si>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</si>
  <si>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</si>
  <si>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</si>
  <si>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</si>
  <si>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</si>
  <si>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</si>
  <si>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</si>
  <si>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</si>
  <si>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</si>
  <si>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</si>
  <si>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</si>
  <si>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</si>
  <si>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</si>
  <si>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</si>
  <si>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</si>
  <si>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</si>
  <si>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</si>
  <si>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</si>
  <si>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</si>
  <si>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</si>
  <si>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</si>
  <si>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</si>
  <si>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</si>
  <si>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</si>
  <si>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</si>
  <si>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</si>
  <si>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</si>
  <si>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</si>
  <si>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</si>
  <si>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</si>
  <si>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</si>
  <si>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</si>
  <si>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</si>
  <si>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</si>
  <si>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</si>
  <si>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</si>
  <si>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</si>
  <si>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</si>
  <si>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</si>
  <si>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</si>
  <si>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</si>
  <si>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</si>
  <si>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</si>
  <si>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</si>
  <si>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</si>
  <si>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</si>
  <si>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</si>
  <si>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</si>
  <si>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</si>
  <si>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</si>
  <si>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</si>
  <si>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</si>
  <si>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</si>
  <si>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</si>
  <si>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</si>
  <si>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</si>
  <si>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</si>
  <si>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</si>
  <si>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</si>
  <si>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</si>
  <si>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</si>
  <si>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</si>
  <si>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</si>
  <si>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</si>
  <si>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</si>
  <si>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</si>
  <si>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</si>
  <si>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</si>
  <si>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</si>
  <si>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</si>
  <si>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</si>
  <si>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</si>
  <si>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</si>
  <si>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</si>
  <si>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</si>
  <si>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</si>
  <si>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</si>
  <si>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</si>
  <si>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</si>
  <si>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</si>
  <si>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</si>
  <si>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</si>
  <si>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</si>
  <si>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</si>
  <si>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</si>
  <si>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</si>
  <si>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</si>
  <si>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</si>
  <si>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</si>
  <si>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</si>
  <si>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</si>
  <si>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</si>
  <si>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</si>
  <si>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</si>
  <si>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</si>
  <si>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</si>
  <si>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</si>
  <si>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</si>
  <si>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</si>
  <si>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</si>
  <si>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</si>
  <si>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</si>
  <si>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</si>
  <si>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</si>
  <si>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</si>
  <si>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</si>
  <si>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</si>
  <si>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</si>
  <si>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</si>
  <si>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</si>
  <si>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</si>
  <si>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</si>
  <si>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</si>
  <si>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</si>
  <si>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</si>
  <si>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</si>
  <si>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</si>
  <si>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</si>
  <si>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</si>
  <si>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</si>
  <si>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</si>
  <si>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</si>
  <si>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</si>
  <si>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</si>
  <si>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</si>
  <si>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</si>
  <si>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</si>
  <si>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</si>
  <si>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</si>
  <si>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</si>
  <si>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</si>
  <si>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</si>
  <si>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</si>
  <si>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</si>
  <si>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</si>
  <si>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</si>
  <si>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</si>
  <si>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</si>
  <si>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</si>
  <si>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</si>
  <si>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</si>
  <si>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</si>
  <si>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</si>
  <si>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</si>
  <si>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</si>
  <si>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</si>
  <si>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</si>
  <si>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</si>
  <si>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</si>
  <si>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</si>
  <si>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</si>
  <si>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</si>
  <si>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</si>
  <si>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</si>
  <si>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</si>
  <si>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</si>
  <si>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</si>
  <si>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</si>
  <si>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</si>
  <si>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</si>
  <si>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</si>
  <si>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</si>
  <si>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</si>
  <si>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</si>
  <si>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</si>
  <si>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</si>
  <si>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</si>
  <si>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</si>
  <si>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</si>
  <si>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</si>
  <si>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</si>
  <si>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</si>
  <si>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</si>
  <si>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</si>
  <si>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</si>
  <si>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</si>
  <si>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</si>
  <si>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</si>
  <si>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</si>
  <si>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</si>
  <si>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</si>
  <si>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</si>
  <si>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</si>
  <si>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</si>
  <si>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</si>
  <si>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</si>
  <si>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</si>
  <si>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</si>
  <si>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</si>
  <si>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</si>
  <si>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</si>
  <si>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</si>
  <si>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</si>
  <si>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</si>
  <si>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</si>
  <si>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</si>
  <si>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</si>
  <si>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</si>
  <si>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</si>
  <si>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</si>
  <si>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</si>
  <si>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</si>
  <si>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</si>
  <si>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</si>
  <si>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</si>
  <si>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</si>
  <si>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</si>
  <si>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</si>
  <si>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</si>
  <si>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</si>
  <si>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</si>
  <si>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</si>
  <si>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</si>
  <si>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</si>
  <si>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</si>
  <si>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</si>
  <si>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</si>
  <si>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</si>
  <si>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</si>
  <si>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</si>
  <si>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</si>
  <si>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</si>
  <si>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</si>
  <si>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</si>
  <si>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</si>
  <si>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</si>
  <si>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</si>
  <si>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</si>
  <si>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</si>
  <si>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</si>
  <si>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</si>
  <si>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</si>
  <si>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</si>
  <si>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</si>
  <si>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</si>
  <si>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</si>
  <si>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</si>
  <si>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</si>
  <si>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</si>
  <si>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</si>
  <si>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</si>
  <si>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</si>
  <si>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</si>
  <si>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</si>
  <si>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</si>
  <si>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</si>
  <si>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</si>
  <si>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</si>
  <si>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</si>
  <si>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</si>
  <si>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</si>
  <si>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</si>
  <si>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</si>
  <si>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</si>
  <si>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</si>
  <si>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</si>
  <si>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</si>
  <si>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</si>
  <si>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</si>
  <si>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</si>
  <si>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</si>
  <si>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</si>
  <si>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</si>
  <si>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</si>
  <si>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</si>
  <si>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</si>
  <si>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</si>
  <si>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</si>
  <si>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</si>
  <si>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</si>
  <si>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</si>
  <si>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</si>
  <si>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</si>
  <si>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</si>
  <si>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</si>
  <si>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</si>
  <si>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</si>
  <si>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</si>
  <si>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</si>
  <si>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</si>
  <si>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</si>
  <si>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</si>
  <si>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</si>
  <si>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</si>
  <si>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</si>
  <si>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</si>
  <si>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</si>
  <si>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</si>
  <si>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</si>
  <si>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</si>
  <si>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</si>
  <si>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</si>
  <si>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</si>
  <si>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</si>
  <si>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</si>
  <si>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</si>
  <si>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</si>
  <si>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</si>
  <si>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</si>
  <si>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</si>
  <si>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</si>
  <si>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</si>
  <si>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</si>
  <si>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</si>
  <si>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</si>
  <si>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</si>
  <si>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</si>
  <si>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</si>
  <si>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</si>
  <si>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</si>
  <si>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</si>
  <si>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</si>
  <si>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</si>
  <si>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</si>
  <si>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</si>
  <si>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</si>
  <si>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</si>
  <si>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</si>
  <si>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</si>
  <si>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</si>
  <si>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</si>
  <si>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</si>
  <si>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</si>
  <si>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</si>
  <si>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</si>
  <si>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</si>
  <si>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</si>
  <si>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</si>
  <si>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</si>
  <si>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</si>
  <si>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</si>
  <si>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</si>
  <si>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</si>
  <si>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</si>
  <si>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</si>
  <si>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</si>
  <si>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</si>
  <si>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</si>
  <si>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</si>
  <si>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</si>
  <si>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</si>
  <si>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</si>
  <si>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</si>
  <si>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</si>
  <si>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</si>
  <si>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</si>
  <si>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</si>
  <si>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</si>
  <si>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</si>
  <si>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</si>
  <si>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</si>
  <si>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</si>
  <si>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</si>
  <si>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</si>
  <si>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</si>
  <si>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</si>
  <si>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</si>
  <si>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</si>
  <si>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</si>
  <si>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</si>
  <si>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</si>
  <si>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</si>
  <si>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</si>
  <si>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</si>
  <si>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</si>
  <si>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</si>
  <si>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</si>
  <si>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</si>
  <si>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</si>
  <si>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</si>
  <si>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</si>
  <si>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</si>
  <si>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</si>
  <si>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</si>
  <si>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</si>
  <si>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</si>
  <si>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</si>
  <si>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</si>
  <si>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</si>
  <si>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</si>
  <si>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</si>
  <si>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</si>
  <si>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</si>
  <si>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</si>
  <si>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</si>
  <si>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</si>
  <si>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</si>
  <si>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</si>
  <si>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</si>
  <si>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</si>
  <si>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</si>
  <si>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</si>
  <si>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</si>
  <si>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</si>
  <si>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</si>
  <si>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</si>
  <si>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</si>
  <si>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</si>
  <si>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</si>
  <si>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</si>
  <si>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</si>
  <si>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</si>
  <si>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</si>
  <si>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</si>
  <si>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</si>
  <si>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</si>
  <si>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</si>
  <si>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</si>
  <si>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</si>
  <si>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</si>
  <si>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</si>
  <si>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</si>
  <si>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</si>
  <si>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</si>
  <si>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</si>
  <si>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</si>
  <si>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</si>
  <si>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</si>
  <si>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</si>
  <si>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</si>
  <si>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</si>
  <si>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</si>
  <si>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</si>
  <si>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</si>
  <si>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</si>
  <si>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</si>
  <si>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</si>
  <si>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</si>
  <si>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</si>
  <si>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</si>
  <si>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</si>
  <si>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</si>
  <si>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</si>
  <si>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</si>
  <si>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</si>
  <si>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</si>
  <si>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</si>
  <si>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</si>
  <si>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</si>
  <si>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</si>
  <si>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</si>
  <si>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</si>
  <si>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</si>
  <si>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</si>
  <si>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</si>
  <si>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</si>
  <si>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</si>
  <si>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</si>
  <si>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</si>
  <si>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</si>
  <si>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</si>
  <si>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</si>
  <si>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</si>
  <si>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</si>
  <si>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</si>
  <si>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</si>
  <si>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</si>
  <si>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</si>
  <si>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</si>
  <si>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</si>
  <si>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</si>
  <si>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</si>
  <si>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</si>
  <si>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</si>
  <si>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</si>
  <si>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</si>
  <si>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</si>
  <si>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</si>
  <si>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</si>
  <si>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</si>
  <si>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</si>
  <si>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</si>
  <si>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</si>
  <si>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</si>
  <si>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</si>
  <si>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</si>
  <si>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</si>
  <si>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</si>
  <si>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</si>
  <si>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</si>
  <si>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</si>
  <si>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</si>
  <si>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</si>
  <si>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</si>
  <si>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</si>
  <si>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</si>
  <si>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</si>
  <si>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</si>
  <si>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</si>
  <si>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</si>
  <si>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</si>
  <si>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</si>
  <si>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</si>
  <si>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</si>
  <si>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</si>
  <si>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</si>
  <si>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</si>
  <si>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</si>
  <si>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</si>
  <si>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</si>
  <si>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</si>
  <si>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</si>
  <si>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</si>
  <si>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</si>
  <si>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</si>
  <si>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</si>
  <si>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</si>
  <si>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</si>
  <si>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</si>
  <si>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</si>
  <si>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</si>
  <si>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</si>
  <si>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</si>
  <si>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</si>
  <si>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</si>
  <si>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</si>
  <si>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</si>
  <si>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</si>
  <si>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</si>
  <si>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</si>
  <si>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</si>
  <si>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</si>
  <si>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</si>
  <si>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</si>
  <si>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</si>
  <si>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</si>
  <si>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</si>
  <si>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</si>
  <si>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</si>
  <si>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</si>
  <si>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</si>
  <si>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</si>
  <si>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</si>
  <si>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</si>
  <si>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</si>
  <si>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</si>
  <si>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Mascoma Valley Regional School District</t>
  </si>
  <si>
    <t>Trust Fund Management Fees</t>
  </si>
  <si>
    <t>Trust Fund Interest</t>
  </si>
  <si>
    <t>5/20/13</t>
  </si>
  <si>
    <t>6/12/14</t>
  </si>
  <si>
    <t>11/20/28</t>
  </si>
  <si>
    <t>12/15/39</t>
  </si>
  <si>
    <t>7/02/15</t>
  </si>
  <si>
    <t>1/07/16</t>
  </si>
  <si>
    <t>7/15/40</t>
  </si>
  <si>
    <t>1/15/41</t>
  </si>
  <si>
    <t>The District will not need an Indirect Cost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</si>
</sst>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0"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343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668144.3+100</f>
        <v>668244.30000000005</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-226682.36</v>
      </c>
      <c r="G12" s="18"/>
      <c r="H12" s="18"/>
      <c r="I12" s="18"/>
      <c r="J12" s="67">
        <f>SUM(I441)</f>
        <v>805781.22</v>
      </c>
      <c r="K12" s="24" t="s">
        <v>288</v>
      </c>
      <c r="L12" s="24" t="s">
        <v>288</v>
      </c>
      <c r="M12" s="8"/>
      <c r="N12" s="266"/>
    </row>
    <row r="13" spans="1:14" s="3" customFormat="1" ht="12.2" customHeight="1" x14ac:dyDescent="0.15">
      <c r="A13" s="1" t="s">
        <v>604</v>
      </c>
      <c r="B13" s="2" t="s">
        <v>289</v>
      </c>
      <c r="C13" s="6">
        <v>5</v>
      </c>
      <c r="D13" s="2" t="s">
        <v>428</v>
      </c>
      <c r="E13" s="6">
        <v>140</v>
      </c>
      <c r="F13" s="18"/>
      <c r="G13" s="18">
        <f>13279.17</f>
        <v>13279.17</v>
      </c>
      <c r="H13" s="18">
        <f>66280.96</f>
        <v>66280.960000000006</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682282.82</v>
      </c>
      <c r="G14" s="18">
        <v>1457.02</v>
      </c>
      <c r="H14" s="18">
        <f>1112</f>
        <v>1112</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1123844.76</v>
      </c>
      <c r="G19" s="41">
        <f>SUM(G9:G18)</f>
        <v>14736.19</v>
      </c>
      <c r="H19" s="41">
        <f>SUM(H9:H18)</f>
        <v>67392.960000000006</v>
      </c>
      <c r="I19" s="41">
        <f>SUM(I9:I18)</f>
        <v>0</v>
      </c>
      <c r="J19" s="41">
        <f>SUM(J9:J18)</f>
        <v>805781.22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-92654.53</v>
      </c>
      <c r="H22" s="18">
        <f>(66280.96+713.9)-9823.59-191199.1</f>
        <v>-134027.83000000002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71487.93</f>
        <v>71487.929999999993</v>
      </c>
      <c r="G24" s="18">
        <v>62380.5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f>54893.01+98.34</f>
        <v>54991.35</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1593.41-960.48</f>
        <v>632.93000000000006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1.38</v>
      </c>
      <c r="G30" s="18">
        <v>9342.7800000000007</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127113.59</v>
      </c>
      <c r="G32" s="41">
        <f>SUM(G22:G31)</f>
        <v>-20931.25</v>
      </c>
      <c r="H32" s="41">
        <f>SUM(H22:H31)</f>
        <v>-134027.83000000002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350000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35667.440000000002</v>
      </c>
      <c r="H48" s="18">
        <f>398.1+9823.59+191199.1</f>
        <v>201420.79</v>
      </c>
      <c r="I48" s="18"/>
      <c r="J48" s="13">
        <f>SUM(I459)</f>
        <v>805781.22</v>
      </c>
      <c r="K48" s="24" t="s">
        <v>288</v>
      </c>
      <c r="L48" s="24" t="s">
        <v>288</v>
      </c>
      <c r="M48" s="8"/>
      <c r="N48" s="266"/>
    </row>
    <row r="49" spans="1:14" s="3" customFormat="1" ht="12.2" customHeight="1" x14ac:dyDescent="0.15">
      <c r="A49" s="1" t="s">
        <v>859</v>
      </c>
      <c r="B49" s="2" t="s">
        <v>289</v>
      </c>
      <c r="C49" s="6">
        <v>34</v>
      </c>
      <c r="D49" s="2"/>
      <c r="E49" s="6">
        <v>753</v>
      </c>
      <c r="F49" s="18">
        <v>18007.490000000002</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453723.68</f>
        <v>453723.68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996731.16999999993</v>
      </c>
      <c r="G51" s="41">
        <f>SUM(G35:G50)</f>
        <v>35667.440000000002</v>
      </c>
      <c r="H51" s="41">
        <f>SUM(H35:H50)</f>
        <v>201420.79</v>
      </c>
      <c r="I51" s="41">
        <f>SUM(I35:I50)</f>
        <v>0</v>
      </c>
      <c r="J51" s="41">
        <f>SUM(J35:J50)</f>
        <v>805781.22</v>
      </c>
      <c r="K51" s="45" t="s">
        <v>288</v>
      </c>
      <c r="L51" s="45" t="s">
        <v>288</v>
      </c>
      <c r="N51" s="264"/>
    </row>
    <row r="52" spans="1:14" s="3" customFormat="1" ht="12.2" customHeight="1" thickTop="1" x14ac:dyDescent="0.15">
      <c r="A52" s="38" t="s">
        <v>455</v>
      </c>
      <c r="B52" s="39" t="s">
        <v>289</v>
      </c>
      <c r="C52" s="6">
        <v>37</v>
      </c>
      <c r="D52" s="39" t="s">
        <v>653</v>
      </c>
      <c r="E52" s="39"/>
      <c r="F52" s="41">
        <f>F51+F32</f>
        <v>1123844.76</v>
      </c>
      <c r="G52" s="41">
        <f>G51+G32</f>
        <v>14736.190000000002</v>
      </c>
      <c r="H52" s="41">
        <f>H51+H32</f>
        <v>67392.959999999992</v>
      </c>
      <c r="I52" s="41">
        <f>I51+I32</f>
        <v>0</v>
      </c>
      <c r="J52" s="41">
        <f>J51+J32</f>
        <v>805781.22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18295349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18295349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f>52830</f>
        <v>52830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f>35925+25</f>
        <v>35950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88780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8931.35</v>
      </c>
      <c r="G96" s="18"/>
      <c r="H96" s="18"/>
      <c r="I96" s="18"/>
      <c r="J96" s="18" t="s">
        <v>286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f>186850.27+15069+18046+8196</f>
        <v>228161.27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116307.54</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31748.9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40680.25</v>
      </c>
      <c r="G111" s="41">
        <f>SUM(G96:G110)</f>
        <v>228161.27</v>
      </c>
      <c r="H111" s="41">
        <f>SUM(H96:H110)</f>
        <v>116307.54</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18336029.25</v>
      </c>
      <c r="G112" s="41">
        <f>G60+G111</f>
        <v>228161.27</v>
      </c>
      <c r="H112" s="41">
        <f>H60+H79+H94+H111</f>
        <v>205087.53999999998</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4123526.14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2361424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1956.09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6486906.2300000004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80542.55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86418.3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119147.3</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17505</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6361.07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70093.990000000005</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373707.14</v>
      </c>
      <c r="G136" s="41">
        <f>SUM(G123:G135)</f>
        <v>6361.07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6860613.3700000001</v>
      </c>
      <c r="G140" s="41">
        <f>G121+SUM(G136:G137)</f>
        <v>6361.07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162591.12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62423.47+25698.6</f>
        <v>88122.07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305001.08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319395.03999999998</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217626.14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217626.14</v>
      </c>
      <c r="G162" s="41">
        <f>SUM(G150:G161)</f>
        <v>305001.08</v>
      </c>
      <c r="H162" s="41">
        <f>SUM(H150:H161)</f>
        <v>570108.23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2582.58</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220208.72</v>
      </c>
      <c r="G169" s="41">
        <f>G147+G162+SUM(G163:G168)</f>
        <v>305001.08</v>
      </c>
      <c r="H169" s="41">
        <f>H147+H162+SUM(H163:H168)</f>
        <v>570108.23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175000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141738</v>
      </c>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141738</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141738</v>
      </c>
      <c r="G192" s="41">
        <f>G183+SUM(G188:G191)</f>
        <v>0</v>
      </c>
      <c r="H192" s="41">
        <f>+H183+SUM(H188:H191)</f>
        <v>0</v>
      </c>
      <c r="I192" s="41">
        <f>I177+I183+SUM(I188:I191)</f>
        <v>0</v>
      </c>
      <c r="J192" s="41">
        <f>J183</f>
        <v>175000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25558589.34</v>
      </c>
      <c r="G193" s="47">
        <f>G112+G140+G169+G192</f>
        <v>539523.42000000004</v>
      </c>
      <c r="H193" s="47">
        <f>H112+H140+H169+H192</f>
        <v>775195.77</v>
      </c>
      <c r="I193" s="47">
        <f>I112+I140+I169+I192</f>
        <v>0</v>
      </c>
      <c r="J193" s="47">
        <f>J112+J140+J192</f>
        <v>175000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3611496.26+3141.25+272674.5+187895.76</f>
        <v>4075207.7699999996</v>
      </c>
      <c r="G197" s="18">
        <f>1085318.33+61177.2+293308.4+1685.7+635954.79+92280.24+60866.7</f>
        <v>2230591.3600000003</v>
      </c>
      <c r="H197" s="18">
        <f>4902.31+2434.07+41562.96</f>
        <v>48899.34</v>
      </c>
      <c r="I197" s="18">
        <f>67182.26+32.49+21526+14358.16+411.1</f>
        <v>103510.01000000001</v>
      </c>
      <c r="J197" s="18">
        <f>240.15+2126.78+8430.87+97411.24</f>
        <v>108209.04000000001</v>
      </c>
      <c r="K197" s="18">
        <f>1871.4</f>
        <v>1871.4</v>
      </c>
      <c r="L197" s="19">
        <f>SUM(F197:K197)</f>
        <v>6568288.9199999999</v>
      </c>
      <c r="M197" s="8"/>
      <c r="N197" s="266"/>
    </row>
    <row r="198" spans="1:14" s="3" customFormat="1" ht="12.2" customHeight="1" x14ac:dyDescent="0.15">
      <c r="A198" s="1" t="s">
        <v>439</v>
      </c>
      <c r="B198" s="2" t="s">
        <v>341</v>
      </c>
      <c r="C198" s="2" t="s">
        <v>291</v>
      </c>
      <c r="D198" s="2" t="s">
        <v>431</v>
      </c>
      <c r="E198" s="6">
        <v>1200</v>
      </c>
      <c r="F198" s="18">
        <f>725420.65+1010954.18+43242.31+448188.59</f>
        <v>2227805.73</v>
      </c>
      <c r="G198" s="18">
        <f>782615.44+44236.46+128517.44+78345.31+125932.92+7986.2+186773.68</f>
        <v>1354407.4499999997</v>
      </c>
      <c r="H198" s="18">
        <f>(851597.18+70799.88)-43251.92</f>
        <v>879145.14</v>
      </c>
      <c r="I198" s="18">
        <f>142.54+4632.44</f>
        <v>4774.9799999999996</v>
      </c>
      <c r="J198" s="18"/>
      <c r="K198" s="18"/>
      <c r="L198" s="19">
        <f>SUM(F198:K198)</f>
        <v>4466133.3</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23095.5</f>
        <v>23095.5</v>
      </c>
      <c r="G200" s="18">
        <f>1765.65+582.25</f>
        <v>2347.9</v>
      </c>
      <c r="H200" s="18">
        <f>2415+14384.86</f>
        <v>16799.86</v>
      </c>
      <c r="I200" s="18">
        <f>250.24</f>
        <v>250.24</v>
      </c>
      <c r="J200" s="18">
        <f>2749.99</f>
        <v>2749.99</v>
      </c>
      <c r="K200" s="18">
        <f>540</f>
        <v>540</v>
      </c>
      <c r="L200" s="19">
        <f>SUM(F200:K200)</f>
        <v>45783.49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190878.72+190553</f>
        <v>381431.72</v>
      </c>
      <c r="G202" s="18">
        <f>58940.34+2776.18+14348.71+33136.51+45651.32+3182.3+14190.87+33080.27</f>
        <v>205306.49999999997</v>
      </c>
      <c r="H202" s="18">
        <f>288623.87</f>
        <v>288623.87</v>
      </c>
      <c r="I202" s="18">
        <f>3423.83</f>
        <v>3423.83</v>
      </c>
      <c r="J202" s="18"/>
      <c r="K202" s="18">
        <f>9058.81</f>
        <v>9058.81</v>
      </c>
      <c r="L202" s="19">
        <f t="shared" ref="L202:L208" si="0">SUM(F202:K202)</f>
        <v>887844.73</v>
      </c>
      <c r="M202" s="8"/>
      <c r="N202" s="266"/>
    </row>
    <row r="203" spans="1:14" s="3" customFormat="1" ht="12.2" customHeight="1" x14ac:dyDescent="0.15">
      <c r="A203" s="1" t="s">
        <v>443</v>
      </c>
      <c r="B203" s="2" t="s">
        <v>341</v>
      </c>
      <c r="C203" s="2" t="s">
        <v>295</v>
      </c>
      <c r="D203" s="2" t="s">
        <v>431</v>
      </c>
      <c r="E203" s="6">
        <v>2200</v>
      </c>
      <c r="F203" s="18">
        <f>142923.44+22500.23</f>
        <v>165423.67000000001</v>
      </c>
      <c r="G203" s="18">
        <f>55155.52+2758.38+12199.47+24811.46+55586.65</f>
        <v>150511.47999999998</v>
      </c>
      <c r="H203" s="18"/>
      <c r="I203" s="18">
        <f>1331.28+14447.5+34744.1</f>
        <v>50522.879999999997</v>
      </c>
      <c r="J203" s="18"/>
      <c r="K203" s="18"/>
      <c r="L203" s="19">
        <f t="shared" si="0"/>
        <v>366458.03</v>
      </c>
      <c r="M203" s="8"/>
      <c r="N203" s="266"/>
    </row>
    <row r="204" spans="1:14" s="3" customFormat="1" ht="12.2" customHeight="1" x14ac:dyDescent="0.15">
      <c r="A204" s="1" t="s">
        <v>444</v>
      </c>
      <c r="B204" s="2" t="s">
        <v>341</v>
      </c>
      <c r="C204" s="2" t="s">
        <v>296</v>
      </c>
      <c r="D204" s="2" t="s">
        <v>431</v>
      </c>
      <c r="E204" s="6">
        <v>2300</v>
      </c>
      <c r="F204" s="18">
        <f>3692+3640.53+1775+55025+430715.79</f>
        <v>494848.31999999995</v>
      </c>
      <c r="G204" s="18">
        <f>282.48+678.58+135.78+12542.2+177293.11</f>
        <v>190932.15</v>
      </c>
      <c r="H204" s="18">
        <f>22726.59+39009.64+6998.54+181733.32</f>
        <v>250468.09</v>
      </c>
      <c r="I204" s="18">
        <f>8338.89+86599.57</f>
        <v>94938.46</v>
      </c>
      <c r="J204" s="18">
        <f>924.19</f>
        <v>924.19</v>
      </c>
      <c r="K204" s="18">
        <f>4371.65+4099.33</f>
        <v>8470.98</v>
      </c>
      <c r="L204" s="19">
        <f t="shared" si="0"/>
        <v>1040582.1899999998</v>
      </c>
      <c r="M204" s="8"/>
      <c r="N204" s="266"/>
    </row>
    <row r="205" spans="1:14" s="3" customFormat="1" ht="12.2" customHeight="1" x14ac:dyDescent="0.15">
      <c r="A205" s="1" t="s">
        <v>445</v>
      </c>
      <c r="B205" s="2" t="s">
        <v>341</v>
      </c>
      <c r="C205" s="2" t="s">
        <v>297</v>
      </c>
      <c r="D205" s="2" t="s">
        <v>431</v>
      </c>
      <c r="E205" s="6">
        <v>2400</v>
      </c>
      <c r="F205" s="18">
        <f>275691+188082.82+72000</f>
        <v>535773.82000000007</v>
      </c>
      <c r="G205" s="18">
        <f>198945.42+11060.82+39007.36+21403.8+59664.98+4000</f>
        <v>334082.38</v>
      </c>
      <c r="H205" s="18">
        <f>753.4+34102.69+2703.48+2527.27+128.17</f>
        <v>40215.01</v>
      </c>
      <c r="I205" s="18">
        <f>1562.83</f>
        <v>1562.83</v>
      </c>
      <c r="J205" s="18">
        <f>745.65</f>
        <v>745.65</v>
      </c>
      <c r="K205" s="18">
        <v>2415.89</v>
      </c>
      <c r="L205" s="19">
        <f t="shared" si="0"/>
        <v>914795.58000000007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259038.49+69931.09</f>
        <v>328969.57999999996</v>
      </c>
      <c r="G207" s="18">
        <f>101636.7+3547.88+19196.43+27349.23+24002.73</f>
        <v>175732.97000000003</v>
      </c>
      <c r="H207" s="18">
        <f>19662.82+77427+71175.24+36330+54111.91+17286.96+40885.26+39876.19+4387.8</f>
        <v>361143.18</v>
      </c>
      <c r="I207" s="18">
        <f>39864.32+82646.06+2270.79+22272.96+46157.18+1372.76+5323.17+9012.53</f>
        <v>208919.77000000002</v>
      </c>
      <c r="J207" s="18">
        <f>179+18915.91+2820.4+10778.06</f>
        <v>32693.370000000003</v>
      </c>
      <c r="K207" s="18"/>
      <c r="L207" s="19">
        <f t="shared" si="0"/>
        <v>1107458.8700000001</v>
      </c>
      <c r="M207" s="8"/>
      <c r="N207" s="266"/>
    </row>
    <row r="208" spans="1:14" s="3" customFormat="1" ht="12.2" customHeight="1" x14ac:dyDescent="0.15">
      <c r="A208" s="1" t="s">
        <v>448</v>
      </c>
      <c r="B208" s="2" t="s">
        <v>341</v>
      </c>
      <c r="C208" s="2" t="s">
        <v>300</v>
      </c>
      <c r="D208" s="2" t="s">
        <v>431</v>
      </c>
      <c r="E208" s="6">
        <v>2700</v>
      </c>
      <c r="F208" s="18"/>
      <c r="G208" s="18"/>
      <c r="H208" s="18">
        <f>5925.99+22317.57+685872.65+43251.92</f>
        <v>757368.13</v>
      </c>
      <c r="I208" s="18"/>
      <c r="J208" s="18"/>
      <c r="K208" s="18"/>
      <c r="L208" s="19">
        <f t="shared" si="0"/>
        <v>757368.13</v>
      </c>
      <c r="M208" s="8"/>
      <c r="N208" s="266"/>
    </row>
    <row r="209" spans="1:14" s="3" customFormat="1" ht="12.2" customHeight="1" x14ac:dyDescent="0.15">
      <c r="A209" s="1" t="s">
        <v>449</v>
      </c>
      <c r="B209" s="2" t="s">
        <v>341</v>
      </c>
      <c r="C209" s="2" t="s">
        <v>343</v>
      </c>
      <c r="D209" s="2" t="s">
        <v>431</v>
      </c>
      <c r="E209" s="6">
        <v>2800</v>
      </c>
      <c r="F209" s="18"/>
      <c r="G209" s="18"/>
      <c r="H209" s="18">
        <f>4448.86</f>
        <v>4448.8599999999997</v>
      </c>
      <c r="I209" s="18"/>
      <c r="J209" s="18"/>
      <c r="K209" s="18"/>
      <c r="L209" s="19">
        <f>SUM(F209:K209)</f>
        <v>4448.8599999999997</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8232556.1100000003</v>
      </c>
      <c r="G211" s="41">
        <f t="shared" si="1"/>
        <v>4643912.1899999995</v>
      </c>
      <c r="H211" s="41">
        <f t="shared" si="1"/>
        <v>2647111.48</v>
      </c>
      <c r="I211" s="41">
        <f t="shared" si="1"/>
        <v>467903</v>
      </c>
      <c r="J211" s="41">
        <f t="shared" si="1"/>
        <v>145322.24000000002</v>
      </c>
      <c r="K211" s="41">
        <f t="shared" si="1"/>
        <v>22357.079999999998</v>
      </c>
      <c r="L211" s="41">
        <f t="shared" si="1"/>
        <v>16159162.1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1576557.95+16485+59777.5+76746.15+19538.65</f>
        <v>1749105.2499999998</v>
      </c>
      <c r="G233" s="18">
        <f>516376.92+30043.74+122395.91+9000.65+273199.7+37691.93+12342.2+24861.05</f>
        <v>1025912.1000000002</v>
      </c>
      <c r="H233" s="18">
        <f>847.04+18141.97+1500+16976.42-0.01</f>
        <v>37465.42</v>
      </c>
      <c r="I233" s="18">
        <f>56472.28+826.1+22107.58+6055.03+167.92</f>
        <v>85628.909999999989</v>
      </c>
      <c r="J233" s="18">
        <f>7182.5+9964.53+2856.82+39787.69</f>
        <v>59791.54</v>
      </c>
      <c r="K233" s="18">
        <f>5512</f>
        <v>5512</v>
      </c>
      <c r="L233" s="19">
        <f>SUM(F233:K233)</f>
        <v>2963415.22</v>
      </c>
      <c r="M233" s="8"/>
      <c r="N233" s="266"/>
    </row>
    <row r="234" spans="1:14" s="3" customFormat="1" ht="12.2" customHeight="1" x14ac:dyDescent="0.15">
      <c r="A234" s="1" t="s">
        <v>439</v>
      </c>
      <c r="B234" s="2" t="s">
        <v>350</v>
      </c>
      <c r="C234" s="2" t="s">
        <v>291</v>
      </c>
      <c r="D234" s="2" t="s">
        <v>431</v>
      </c>
      <c r="E234" s="6">
        <v>1200</v>
      </c>
      <c r="F234" s="18">
        <f>256201.93+185271.81+183062.94</f>
        <v>624536.67999999993</v>
      </c>
      <c r="G234" s="18">
        <f>221636.54+10899.1+32137.43+16553.79+44476.6+76287.84</f>
        <v>401991.29999999993</v>
      </c>
      <c r="H234" s="18">
        <f>2171.61+170768.8+281391.28+347835.47</f>
        <v>802167.15999999992</v>
      </c>
      <c r="I234" s="18">
        <f>119.98+470.4+1892.12</f>
        <v>2482.5</v>
      </c>
      <c r="J234" s="18"/>
      <c r="K234" s="18"/>
      <c r="L234" s="19">
        <f>SUM(F234:K234)</f>
        <v>1831177.6399999997</v>
      </c>
      <c r="M234" s="8"/>
      <c r="N234" s="266"/>
    </row>
    <row r="235" spans="1:14" s="3" customFormat="1" ht="12.2" customHeight="1" x14ac:dyDescent="0.15">
      <c r="A235" s="1" t="s">
        <v>440</v>
      </c>
      <c r="B235" s="2" t="s">
        <v>350</v>
      </c>
      <c r="C235" s="2" t="s">
        <v>292</v>
      </c>
      <c r="D235" s="2" t="s">
        <v>431</v>
      </c>
      <c r="E235" s="6">
        <v>1300</v>
      </c>
      <c r="F235" s="18"/>
      <c r="G235" s="18"/>
      <c r="H235" s="18">
        <f>362010.2</f>
        <v>362010.2</v>
      </c>
      <c r="I235" s="18"/>
      <c r="J235" s="18"/>
      <c r="K235" s="18"/>
      <c r="L235" s="19">
        <f>SUM(F235:K235)</f>
        <v>362010.2</v>
      </c>
      <c r="M235" s="8"/>
      <c r="N235" s="266"/>
    </row>
    <row r="236" spans="1:14" s="3" customFormat="1" ht="12.2" customHeight="1" x14ac:dyDescent="0.15">
      <c r="A236" s="1" t="s">
        <v>441</v>
      </c>
      <c r="B236" s="2" t="s">
        <v>350</v>
      </c>
      <c r="C236" s="2" t="s">
        <v>293</v>
      </c>
      <c r="D236" s="2" t="s">
        <v>431</v>
      </c>
      <c r="E236" s="6">
        <v>1400</v>
      </c>
      <c r="F236" s="18">
        <f>74999</f>
        <v>74999</v>
      </c>
      <c r="G236" s="18">
        <f>24.88+5719.58+181.05+1133.6</f>
        <v>7059.1100000000006</v>
      </c>
      <c r="H236" s="18">
        <f>23418+59932.64+11862.01</f>
        <v>95212.65</v>
      </c>
      <c r="I236" s="18">
        <f>10054.25</f>
        <v>10054.25</v>
      </c>
      <c r="J236" s="18">
        <f>4541.21+5444.42</f>
        <v>9985.630000000001</v>
      </c>
      <c r="K236" s="18">
        <f>7399</f>
        <v>7399</v>
      </c>
      <c r="L236" s="19">
        <f>SUM(F236:K236)</f>
        <v>204709.64</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187399+65272</f>
        <v>252671</v>
      </c>
      <c r="G238" s="18">
        <f>45651.32+2974.84+14152.22+32532.29+26225.76+1487.42+4887.71+11331.31</f>
        <v>139242.87000000002</v>
      </c>
      <c r="H238" s="18">
        <f>3284.36+840+117888.62</f>
        <v>122012.98</v>
      </c>
      <c r="I238" s="18">
        <f>335.12+909.06</f>
        <v>1244.1799999999998</v>
      </c>
      <c r="J238" s="18"/>
      <c r="K238" s="18">
        <f>150+3700.08</f>
        <v>3850.08</v>
      </c>
      <c r="L238" s="19">
        <f t="shared" ref="L238:L244" si="4">SUM(F238:K238)</f>
        <v>519021.11</v>
      </c>
      <c r="M238" s="8"/>
      <c r="N238" s="266"/>
    </row>
    <row r="239" spans="1:14" s="3" customFormat="1" ht="12.2" customHeight="1" x14ac:dyDescent="0.15">
      <c r="A239" s="1" t="s">
        <v>443</v>
      </c>
      <c r="B239" s="2" t="s">
        <v>350</v>
      </c>
      <c r="C239" s="2" t="s">
        <v>295</v>
      </c>
      <c r="D239" s="2" t="s">
        <v>431</v>
      </c>
      <c r="E239" s="6">
        <v>2200</v>
      </c>
      <c r="F239" s="18">
        <f>43056.19+8719.89</f>
        <v>51776.08</v>
      </c>
      <c r="G239" s="18">
        <f>26225.76+1487.42+3819.25+7474.49</f>
        <v>39006.92</v>
      </c>
      <c r="H239" s="18">
        <f>22704.4</f>
        <v>22704.400000000001</v>
      </c>
      <c r="I239" s="18">
        <f>788.96+6925.31+14191.25</f>
        <v>21905.52</v>
      </c>
      <c r="J239" s="18"/>
      <c r="K239" s="18"/>
      <c r="L239" s="19">
        <f t="shared" si="4"/>
        <v>135392.91999999998</v>
      </c>
      <c r="M239" s="8"/>
      <c r="N239" s="266"/>
    </row>
    <row r="240" spans="1:14" s="3" customFormat="1" ht="12.2" customHeight="1" x14ac:dyDescent="0.15">
      <c r="A240" s="1" t="s">
        <v>444</v>
      </c>
      <c r="B240" s="2" t="s">
        <v>350</v>
      </c>
      <c r="C240" s="2" t="s">
        <v>296</v>
      </c>
      <c r="D240" s="2" t="s">
        <v>431</v>
      </c>
      <c r="E240" s="6">
        <v>2300</v>
      </c>
      <c r="F240" s="18">
        <f>1508+1486.98+725+22475+175926.17</f>
        <v>202121.15000000002</v>
      </c>
      <c r="G240" s="18">
        <f>115.38+277.16+55.46+5122.87+72415.49</f>
        <v>77986.36</v>
      </c>
      <c r="H240" s="18">
        <f>9282.69+15933.51+2858.56+74229.1</f>
        <v>102303.86000000002</v>
      </c>
      <c r="I240" s="18">
        <f>3406.02+35371.65</f>
        <v>38777.67</v>
      </c>
      <c r="J240" s="18">
        <f>377.49</f>
        <v>377.49</v>
      </c>
      <c r="K240" s="18">
        <f>1785.6+1674.37</f>
        <v>3459.97</v>
      </c>
      <c r="L240" s="19">
        <f t="shared" si="4"/>
        <v>425026.49999999994</v>
      </c>
      <c r="M240" s="8"/>
      <c r="N240" s="266"/>
    </row>
    <row r="241" spans="1:14" s="3" customFormat="1" ht="12.2" customHeight="1" x14ac:dyDescent="0.15">
      <c r="A241" s="1" t="s">
        <v>445</v>
      </c>
      <c r="B241" s="2" t="s">
        <v>350</v>
      </c>
      <c r="C241" s="2" t="s">
        <v>297</v>
      </c>
      <c r="D241" s="2" t="s">
        <v>431</v>
      </c>
      <c r="E241" s="6">
        <v>2400</v>
      </c>
      <c r="F241" s="18">
        <f>8000+97874+108171.78+79250</f>
        <v>293295.78000000003</v>
      </c>
      <c r="G241" s="18">
        <f>121649.66+6797.12+21373+12309.89+31790.38+2000</f>
        <v>195920.05</v>
      </c>
      <c r="H241" s="18">
        <f>270+12154.72+1000+3170</f>
        <v>16594.72</v>
      </c>
      <c r="I241" s="18">
        <f>5550.25</f>
        <v>5550.25</v>
      </c>
      <c r="J241" s="18"/>
      <c r="K241" s="18"/>
      <c r="L241" s="19">
        <f t="shared" si="4"/>
        <v>511360.80000000005</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209467.05+28563.4</f>
        <v>238030.44999999998</v>
      </c>
      <c r="G243" s="18">
        <f>73900.64+3535.9+15682.86+23837.4+9803.93</f>
        <v>126760.72999999998</v>
      </c>
      <c r="H243" s="18">
        <f>752+13340.14+44793.89+4010.6+23008.1+4754.63+40885.26+16287.46+1792.2</f>
        <v>149624.28</v>
      </c>
      <c r="I243" s="18">
        <f>15138.47+86849.05+4274.91+10012.5+35012.37+566.88+1691.41+3681.18</f>
        <v>157226.77000000002</v>
      </c>
      <c r="J243" s="18">
        <f>3277.81+1022.93+1601.59+1152+4402.31</f>
        <v>11456.64</v>
      </c>
      <c r="K243" s="18"/>
      <c r="L243" s="19">
        <f t="shared" si="4"/>
        <v>683098.87</v>
      </c>
      <c r="M243" s="8"/>
      <c r="N243" s="266"/>
    </row>
    <row r="244" spans="1:14" s="3" customFormat="1" ht="12.2" customHeight="1" x14ac:dyDescent="0.15">
      <c r="A244" s="1" t="s">
        <v>448</v>
      </c>
      <c r="B244" s="2" t="s">
        <v>350</v>
      </c>
      <c r="C244" s="2" t="s">
        <v>300</v>
      </c>
      <c r="D244" s="2" t="s">
        <v>431</v>
      </c>
      <c r="E244" s="6">
        <v>2700</v>
      </c>
      <c r="F244" s="18"/>
      <c r="G244" s="18"/>
      <c r="H244" s="18">
        <f>72188.8+41186.79+8325.46+280145.17</f>
        <v>401846.22</v>
      </c>
      <c r="I244" s="18"/>
      <c r="J244" s="18"/>
      <c r="K244" s="18"/>
      <c r="L244" s="19">
        <f t="shared" si="4"/>
        <v>401846.22</v>
      </c>
      <c r="M244" s="8"/>
      <c r="N244" s="266"/>
    </row>
    <row r="245" spans="1:14" s="3" customFormat="1" ht="12.2" customHeight="1" x14ac:dyDescent="0.15">
      <c r="A245" s="1" t="s">
        <v>449</v>
      </c>
      <c r="B245" s="2" t="s">
        <v>350</v>
      </c>
      <c r="C245" s="2" t="s">
        <v>343</v>
      </c>
      <c r="D245" s="2" t="s">
        <v>431</v>
      </c>
      <c r="E245" s="6">
        <v>2800</v>
      </c>
      <c r="F245" s="18"/>
      <c r="G245" s="18"/>
      <c r="H245" s="18">
        <f>1817.14</f>
        <v>1817.14</v>
      </c>
      <c r="I245" s="18"/>
      <c r="J245" s="18"/>
      <c r="K245" s="18"/>
      <c r="L245" s="19">
        <f>SUM(F245:K245)</f>
        <v>1817.14</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3486535.3899999997</v>
      </c>
      <c r="G247" s="41">
        <f t="shared" si="5"/>
        <v>2013879.4400000004</v>
      </c>
      <c r="H247" s="41">
        <f t="shared" si="5"/>
        <v>2113759.0299999998</v>
      </c>
      <c r="I247" s="41">
        <f t="shared" si="5"/>
        <v>322870.05</v>
      </c>
      <c r="J247" s="41">
        <f t="shared" si="5"/>
        <v>81611.3</v>
      </c>
      <c r="K247" s="41">
        <f t="shared" si="5"/>
        <v>20221.050000000003</v>
      </c>
      <c r="L247" s="41">
        <f t="shared" si="5"/>
        <v>8038876.2599999988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f>64520+59755+48583+33400</f>
        <v>206258</v>
      </c>
      <c r="K255" s="18"/>
      <c r="L255" s="19">
        <f t="shared" si="6"/>
        <v>206258</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206258</v>
      </c>
      <c r="K256" s="41">
        <f t="shared" si="7"/>
        <v>0</v>
      </c>
      <c r="L256" s="41">
        <f>SUM(F256:K256)</f>
        <v>206258</v>
      </c>
      <c r="M256" s="8"/>
      <c r="N256" s="266"/>
    </row>
    <row r="257" spans="1:14" s="3" customFormat="1" ht="12.2" customHeight="1" thickTop="1" x14ac:dyDescent="0.15">
      <c r="A257" s="38" t="s">
        <v>462</v>
      </c>
      <c r="B257" s="40">
        <v>10</v>
      </c>
      <c r="C257" s="40">
        <v>8</v>
      </c>
      <c r="D257" s="39" t="s">
        <v>431</v>
      </c>
      <c r="E257" s="40"/>
      <c r="F257" s="41">
        <f t="shared" ref="F257:L257" si="8">F211+F229+F247+F256</f>
        <v>11719091.5</v>
      </c>
      <c r="G257" s="41">
        <f t="shared" si="8"/>
        <v>6657791.6299999999</v>
      </c>
      <c r="H257" s="41">
        <f t="shared" si="8"/>
        <v>4760870.51</v>
      </c>
      <c r="I257" s="41">
        <f t="shared" si="8"/>
        <v>790773.05</v>
      </c>
      <c r="J257" s="41">
        <f t="shared" si="8"/>
        <v>433191.54000000004</v>
      </c>
      <c r="K257" s="41">
        <f t="shared" si="8"/>
        <v>42578.130000000005</v>
      </c>
      <c r="L257" s="41">
        <f t="shared" si="8"/>
        <v>24404296.359999999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687252.52</v>
      </c>
      <c r="L260" s="19">
        <f>SUM(F260:K260)</f>
        <v>687252.52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823637.58</v>
      </c>
      <c r="L261" s="19">
        <f>SUM(F261:K261)</f>
        <v>823637.58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175000</v>
      </c>
      <c r="L266" s="19">
        <f t="shared" si="9"/>
        <v>175000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1685890.1</v>
      </c>
      <c r="L270" s="41">
        <f t="shared" si="9"/>
        <v>1685890.1</v>
      </c>
      <c r="N270" s="264"/>
    </row>
    <row r="271" spans="1:14" s="3" customFormat="1" ht="12.2" customHeight="1" thickTop="1" x14ac:dyDescent="0.2">
      <c r="A271" s="43" t="s">
        <v>464</v>
      </c>
      <c r="B271" s="40">
        <v>10</v>
      </c>
      <c r="C271" s="40">
        <v>18</v>
      </c>
      <c r="D271" s="39" t="s">
        <v>431</v>
      </c>
      <c r="E271" s="40"/>
      <c r="F271" s="42">
        <f t="shared" ref="F271:L271" si="11">F257+F270</f>
        <v>11719091.5</v>
      </c>
      <c r="G271" s="42">
        <f t="shared" si="11"/>
        <v>6657791.6299999999</v>
      </c>
      <c r="H271" s="42">
        <f t="shared" si="11"/>
        <v>4760870.51</v>
      </c>
      <c r="I271" s="42">
        <f t="shared" si="11"/>
        <v>790773.05</v>
      </c>
      <c r="J271" s="42">
        <f t="shared" si="11"/>
        <v>433191.54000000004</v>
      </c>
      <c r="K271" s="42">
        <f t="shared" si="11"/>
        <v>1728468.23</v>
      </c>
      <c r="L271" s="42">
        <f t="shared" si="11"/>
        <v>26090186.460000001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4734+12000+52830</f>
        <v>69564</v>
      </c>
      <c r="G276" s="18">
        <f>(362.16+821.83+912.1+2023.4)-150</f>
        <v>3969.49</v>
      </c>
      <c r="H276" s="18">
        <f>266.38+466.52</f>
        <v>732.9</v>
      </c>
      <c r="I276" s="18">
        <f>3307.33+259.64+483.11+6369.77+3896.74+319.85+2000</f>
        <v>16636.440000000002</v>
      </c>
      <c r="J276" s="18">
        <f>1815+1000+60+899.9+29642.75</f>
        <v>33417.65</v>
      </c>
      <c r="K276" s="18"/>
      <c r="L276" s="19">
        <f>SUM(F276:K276)</f>
        <v>124320.48000000001</v>
      </c>
      <c r="M276" s="8"/>
      <c r="N276" s="266"/>
    </row>
    <row r="277" spans="1:14" s="3" customFormat="1" ht="12.2" customHeight="1" x14ac:dyDescent="0.15">
      <c r="A277" s="1" t="s">
        <v>439</v>
      </c>
      <c r="B277" s="2" t="s">
        <v>357</v>
      </c>
      <c r="C277" s="2" t="s">
        <v>291</v>
      </c>
      <c r="D277" s="2" t="s">
        <v>431</v>
      </c>
      <c r="E277" s="6">
        <v>1200</v>
      </c>
      <c r="F277" s="18">
        <f>74761+37289.12+1836.55+3759.89</f>
        <v>117646.56</v>
      </c>
      <c r="G277" s="18">
        <f>9201.5+441.32+608.86+292.53+2797.64+5564.74+9760.2+414.6+183.05+420.94+349.17+318.82</f>
        <v>30353.369999999995</v>
      </c>
      <c r="H277" s="18">
        <f>49980+44999.85+1200+5431.6+21475+2018</f>
        <v>125104.45000000001</v>
      </c>
      <c r="I277" s="18">
        <f>1605.85+4537.18+233.88+337.28+143.6+1370.14</f>
        <v>8227.93</v>
      </c>
      <c r="J277" s="18">
        <f>2697.42+131.92</f>
        <v>2829.34</v>
      </c>
      <c r="K277" s="18"/>
      <c r="L277" s="19">
        <f>SUM(F277:K277)</f>
        <v>284161.65000000002</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51931.25+19306.4</f>
        <v>71237.649999999994</v>
      </c>
      <c r="G281" s="18">
        <f>3972.79+1476.94</f>
        <v>5449.73</v>
      </c>
      <c r="H281" s="18">
        <f>9524.78+32657.18+242.62+324.4</f>
        <v>42748.98</v>
      </c>
      <c r="I281" s="18"/>
      <c r="J281" s="18"/>
      <c r="K281" s="18">
        <f>390.81+9683</f>
        <v>10073.81</v>
      </c>
      <c r="L281" s="19">
        <f t="shared" ref="L281:L287" si="12">SUM(F281:K281)</f>
        <v>129510.16999999998</v>
      </c>
      <c r="M281" s="8"/>
      <c r="N281" s="266"/>
    </row>
    <row r="282" spans="1:14" s="3" customFormat="1" ht="12.2" customHeight="1" x14ac:dyDescent="0.15">
      <c r="A282" s="1" t="s">
        <v>443</v>
      </c>
      <c r="B282" s="2" t="s">
        <v>357</v>
      </c>
      <c r="C282" s="2" t="s">
        <v>295</v>
      </c>
      <c r="D282" s="2" t="s">
        <v>431</v>
      </c>
      <c r="E282" s="6">
        <v>2200</v>
      </c>
      <c r="F282" s="18">
        <f>10000</f>
        <v>10000</v>
      </c>
      <c r="G282" s="18">
        <f>739.52+1736</f>
        <v>2475.52</v>
      </c>
      <c r="H282" s="18">
        <f>13686.5+26507.45+4462.21+1574.15+1841.88</f>
        <v>48072.189999999995</v>
      </c>
      <c r="I282" s="18">
        <f>514.15+432.51</f>
        <v>946.66</v>
      </c>
      <c r="J282" s="18"/>
      <c r="K282" s="18"/>
      <c r="L282" s="19">
        <f t="shared" si="12"/>
        <v>61494.369999999995</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f>3688.3</f>
        <v>3688.3</v>
      </c>
      <c r="K286" s="18"/>
      <c r="L286" s="19">
        <f t="shared" si="12"/>
        <v>3688.3</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268448.20999999996</v>
      </c>
      <c r="G290" s="42">
        <f t="shared" si="13"/>
        <v>42248.109999999993</v>
      </c>
      <c r="H290" s="42">
        <f t="shared" si="13"/>
        <v>216658.52000000002</v>
      </c>
      <c r="I290" s="42">
        <f t="shared" si="13"/>
        <v>25811.030000000002</v>
      </c>
      <c r="J290" s="42">
        <f t="shared" si="13"/>
        <v>39935.290000000008</v>
      </c>
      <c r="K290" s="42">
        <f t="shared" si="13"/>
        <v>10073.81</v>
      </c>
      <c r="L290" s="41">
        <f t="shared" si="13"/>
        <v>603174.97000000009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21416.5+6183</f>
        <v>27599.5</v>
      </c>
      <c r="G314" s="18">
        <f>2063.51+284.52+3717.9</f>
        <v>6065.93</v>
      </c>
      <c r="H314" s="18">
        <f>8402.28+26197.2+1005.94+2685.38</f>
        <v>38290.800000000003</v>
      </c>
      <c r="I314" s="18">
        <f>357.15+3894.56+2207.44+1733.79</f>
        <v>8192.9399999999987</v>
      </c>
      <c r="J314" s="18">
        <f>2000+516.83+12107.6</f>
        <v>14624.43</v>
      </c>
      <c r="K314" s="18"/>
      <c r="L314" s="19">
        <f>SUM(F314:K314)</f>
        <v>94773.6</v>
      </c>
      <c r="M314" s="8"/>
      <c r="N314" s="266"/>
    </row>
    <row r="315" spans="1:14" s="3" customFormat="1" ht="12.2" customHeight="1" x14ac:dyDescent="0.15">
      <c r="A315" s="1" t="s">
        <v>439</v>
      </c>
      <c r="B315" s="2" t="s">
        <v>359</v>
      </c>
      <c r="C315" s="2" t="s">
        <v>291</v>
      </c>
      <c r="D315" s="2" t="s">
        <v>431</v>
      </c>
      <c r="E315" s="6">
        <v>1200</v>
      </c>
      <c r="F315" s="18">
        <f>26961</f>
        <v>26961</v>
      </c>
      <c r="G315" s="18">
        <f>219.56+2006.83+3068.33+145.62</f>
        <v>5440.3399999999992</v>
      </c>
      <c r="H315" s="18">
        <f>2218.54</f>
        <v>2218.54</v>
      </c>
      <c r="I315" s="18">
        <f>104.82+5902.34+385.48+559.63</f>
        <v>6952.2699999999995</v>
      </c>
      <c r="J315" s="18">
        <f>53.88</f>
        <v>53.88</v>
      </c>
      <c r="K315" s="18"/>
      <c r="L315" s="19">
        <f>SUM(F315:K315)</f>
        <v>41626.029999999992</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f>13338.85</f>
        <v>13338.85</v>
      </c>
      <c r="I319" s="18"/>
      <c r="J319" s="18"/>
      <c r="K319" s="18">
        <f>3050</f>
        <v>3050</v>
      </c>
      <c r="L319" s="19">
        <f t="shared" ref="L319:L325" si="16">SUM(F319:K319)</f>
        <v>16388.849999999999</v>
      </c>
      <c r="M319" s="8"/>
      <c r="N319" s="266"/>
    </row>
    <row r="320" spans="1:14" s="3" customFormat="1" ht="12.2" customHeight="1" x14ac:dyDescent="0.15">
      <c r="A320" s="1" t="s">
        <v>443</v>
      </c>
      <c r="B320" s="2" t="s">
        <v>359</v>
      </c>
      <c r="C320" s="2" t="s">
        <v>295</v>
      </c>
      <c r="D320" s="2" t="s">
        <v>431</v>
      </c>
      <c r="E320" s="6">
        <v>2200</v>
      </c>
      <c r="F320" s="18"/>
      <c r="G320" s="18"/>
      <c r="H320" s="18">
        <f>10826.98+1822.59+642.96+752.32</f>
        <v>14044.849999999999</v>
      </c>
      <c r="I320" s="18">
        <f>210.01+176.66</f>
        <v>386.66999999999996</v>
      </c>
      <c r="J320" s="18"/>
      <c r="K320" s="18"/>
      <c r="L320" s="19">
        <f t="shared" si="16"/>
        <v>14431.519999999999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54560.5</v>
      </c>
      <c r="G328" s="42">
        <f t="shared" si="17"/>
        <v>11506.27</v>
      </c>
      <c r="H328" s="42">
        <f t="shared" si="17"/>
        <v>67893.040000000008</v>
      </c>
      <c r="I328" s="42">
        <f t="shared" si="17"/>
        <v>15531.88</v>
      </c>
      <c r="J328" s="42">
        <f t="shared" si="17"/>
        <v>14678.31</v>
      </c>
      <c r="K328" s="42">
        <f t="shared" si="17"/>
        <v>3050</v>
      </c>
      <c r="L328" s="41">
        <f t="shared" si="17"/>
        <v>167220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323008.70999999996</v>
      </c>
      <c r="G338" s="41">
        <f t="shared" si="20"/>
        <v>53754.37999999999</v>
      </c>
      <c r="H338" s="41">
        <f t="shared" si="20"/>
        <v>284551.56000000006</v>
      </c>
      <c r="I338" s="41">
        <f t="shared" si="20"/>
        <v>41342.910000000003</v>
      </c>
      <c r="J338" s="41">
        <f t="shared" si="20"/>
        <v>54613.600000000006</v>
      </c>
      <c r="K338" s="41">
        <f t="shared" si="20"/>
        <v>13123.81</v>
      </c>
      <c r="L338" s="41">
        <f t="shared" si="20"/>
        <v>770394.97000000009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323008.70999999996</v>
      </c>
      <c r="G352" s="41">
        <f>G338</f>
        <v>53754.37999999999</v>
      </c>
      <c r="H352" s="41">
        <f>H338</f>
        <v>284551.56000000006</v>
      </c>
      <c r="I352" s="41">
        <f>I338</f>
        <v>41342.910000000003</v>
      </c>
      <c r="J352" s="41">
        <f>J338</f>
        <v>54613.600000000006</v>
      </c>
      <c r="K352" s="47">
        <f>K338+K351</f>
        <v>13123.81</v>
      </c>
      <c r="L352" s="41">
        <f>L338+L351</f>
        <v>770394.97000000009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529971*0.71</f>
        <v>376279.41</v>
      </c>
      <c r="I358" s="18"/>
      <c r="J358" s="322"/>
      <c r="K358" s="18"/>
      <c r="L358" s="13">
        <f>SUM(F358:K358)</f>
        <v>376279.41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f>529971*0.29</f>
        <v>153691.59</v>
      </c>
      <c r="I360" s="18"/>
      <c r="J360" s="18"/>
      <c r="K360" s="18"/>
      <c r="L360" s="19">
        <f>SUM(F360:K360)</f>
        <v>153691.59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529971</v>
      </c>
      <c r="I362" s="47">
        <f t="shared" si="22"/>
        <v>0</v>
      </c>
      <c r="J362" s="47">
        <f t="shared" si="22"/>
        <v>0</v>
      </c>
      <c r="K362" s="47">
        <f t="shared" si="22"/>
        <v>0</v>
      </c>
      <c r="L362" s="47">
        <f t="shared" si="22"/>
        <v>529971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t="s">
        <v>286</v>
      </c>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100000</v>
      </c>
      <c r="H396" s="18"/>
      <c r="I396" s="18"/>
      <c r="J396" s="24" t="s">
        <v>288</v>
      </c>
      <c r="K396" s="24" t="s">
        <v>288</v>
      </c>
      <c r="L396" s="56">
        <f t="shared" si="26"/>
        <v>100000</v>
      </c>
      <c r="M396" s="8"/>
      <c r="N396" s="266"/>
    </row>
    <row r="397" spans="1:14" s="3" customFormat="1" ht="12.2" customHeight="1" x14ac:dyDescent="0.15">
      <c r="A397" s="79" t="s">
        <v>515</v>
      </c>
      <c r="B397" s="2" t="s">
        <v>381</v>
      </c>
      <c r="C397" s="6">
        <v>10</v>
      </c>
      <c r="D397" s="2" t="s">
        <v>432</v>
      </c>
      <c r="E397" s="6"/>
      <c r="F397" s="18"/>
      <c r="G397" s="18">
        <v>50000</v>
      </c>
      <c r="H397" s="18"/>
      <c r="I397" s="18"/>
      <c r="J397" s="24" t="s">
        <v>288</v>
      </c>
      <c r="K397" s="24" t="s">
        <v>288</v>
      </c>
      <c r="L397" s="56">
        <f t="shared" si="26"/>
        <v>50000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25000</v>
      </c>
      <c r="H399" s="18"/>
      <c r="I399" s="18"/>
      <c r="J399" s="24" t="s">
        <v>288</v>
      </c>
      <c r="K399" s="24" t="s">
        <v>288</v>
      </c>
      <c r="L399" s="56">
        <f t="shared" si="26"/>
        <v>25000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175000</v>
      </c>
      <c r="H401" s="47">
        <f>SUM(H395:H400)</f>
        <v>0</v>
      </c>
      <c r="I401" s="47">
        <f>SUM(I395:I400)</f>
        <v>0</v>
      </c>
      <c r="J401" s="45" t="s">
        <v>288</v>
      </c>
      <c r="K401" s="45" t="s">
        <v>288</v>
      </c>
      <c r="L401" s="47">
        <f>SUM(L395:L400)</f>
        <v>175000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175000</v>
      </c>
      <c r="H408" s="47">
        <f>H393+H401+H407</f>
        <v>0</v>
      </c>
      <c r="I408" s="47">
        <f>I393+I401+I407</f>
        <v>0</v>
      </c>
      <c r="J408" s="24" t="s">
        <v>288</v>
      </c>
      <c r="K408" s="24" t="s">
        <v>288</v>
      </c>
      <c r="L408" s="47">
        <f>L393+L401+L407</f>
        <v>175000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v>141738</v>
      </c>
      <c r="L414" s="56">
        <f t="shared" si="27"/>
        <v>141738</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141738</v>
      </c>
      <c r="L419" s="47">
        <f t="shared" si="28"/>
        <v>141738</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141738</v>
      </c>
      <c r="L434" s="47">
        <f t="shared" si="32"/>
        <v>141738</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v>805781.22</v>
      </c>
      <c r="G441" s="18"/>
      <c r="H441" s="18"/>
      <c r="I441" s="56">
        <f t="shared" si="33"/>
        <v>805781.22</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805781.22</v>
      </c>
      <c r="G446" s="13">
        <f>SUM(G439:G445)</f>
        <v>0</v>
      </c>
      <c r="H446" s="13">
        <f>SUM(H439:H445)</f>
        <v>0</v>
      </c>
      <c r="I446" s="13">
        <f>SUM(I439:I445)</f>
        <v>805781.22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805781.22</v>
      </c>
      <c r="G459" s="18"/>
      <c r="H459" s="18"/>
      <c r="I459" s="56">
        <f t="shared" si="34"/>
        <v>805781.22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805781.22</v>
      </c>
      <c r="G460" s="83">
        <f>SUM(G454:G459)</f>
        <v>0</v>
      </c>
      <c r="H460" s="83">
        <f>SUM(H454:H459)</f>
        <v>0</v>
      </c>
      <c r="I460" s="83">
        <f>SUM(I454:I459)</f>
        <v>805781.22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805781.22</v>
      </c>
      <c r="G461" s="42">
        <f>G452+G460</f>
        <v>0</v>
      </c>
      <c r="H461" s="42">
        <f>H452+H460</f>
        <v>0</v>
      </c>
      <c r="I461" s="42">
        <f>I452+I460</f>
        <v>805781.22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1528328.29</v>
      </c>
      <c r="G465" s="18">
        <v>26115.02</v>
      </c>
      <c r="H465" s="18">
        <v>196619.99</v>
      </c>
      <c r="I465" s="18"/>
      <c r="J465" s="18">
        <v>760379.53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25558589.34</v>
      </c>
      <c r="G468" s="18">
        <v>539523.42000000004</v>
      </c>
      <c r="H468" s="18">
        <v>775195.77</v>
      </c>
      <c r="I468" s="18"/>
      <c r="J468" s="18">
        <f>175000</f>
        <v>175000</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v>16210.75</v>
      </c>
      <c r="K469" s="24" t="s">
        <v>288</v>
      </c>
      <c r="L469" s="24" t="s">
        <v>288</v>
      </c>
      <c r="N469" s="265"/>
    </row>
    <row r="470" spans="1:14" s="52" customFormat="1" ht="12.2" customHeight="1" x14ac:dyDescent="0.2">
      <c r="A470" s="92" t="s">
        <v>425</v>
      </c>
      <c r="B470" s="75">
        <v>19</v>
      </c>
      <c r="C470" s="80">
        <v>4</v>
      </c>
      <c r="D470" s="2" t="s">
        <v>432</v>
      </c>
      <c r="E470" s="80"/>
      <c r="F470" s="53">
        <f>SUM(F468:F469)</f>
        <v>25558589.34</v>
      </c>
      <c r="G470" s="53">
        <f>SUM(G468:G469)</f>
        <v>539523.42000000004</v>
      </c>
      <c r="H470" s="53">
        <f>SUM(H468:H469)</f>
        <v>775195.77</v>
      </c>
      <c r="I470" s="53">
        <f>SUM(I468:I469)</f>
        <v>0</v>
      </c>
      <c r="J470" s="53">
        <f>SUM(J468:J469)</f>
        <v>191210.75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26090186.460000001</v>
      </c>
      <c r="G472" s="18">
        <v>529971</v>
      </c>
      <c r="H472" s="18">
        <f>570108.23+52680+39090.54+108516.2</f>
        <v>770394.97</v>
      </c>
      <c r="I472" s="18"/>
      <c r="J472" s="18">
        <v>141738</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v>4071.06</v>
      </c>
      <c r="K473" s="24" t="s">
        <v>288</v>
      </c>
      <c r="L473" s="24" t="s">
        <v>288</v>
      </c>
      <c r="N473" s="265"/>
    </row>
    <row r="474" spans="1:14" s="52" customFormat="1" ht="12.2" customHeight="1" x14ac:dyDescent="0.2">
      <c r="A474" s="92" t="s">
        <v>426</v>
      </c>
      <c r="B474" s="75">
        <v>19</v>
      </c>
      <c r="C474" s="80">
        <v>7</v>
      </c>
      <c r="D474" s="2" t="s">
        <v>432</v>
      </c>
      <c r="E474" s="80"/>
      <c r="F474" s="53">
        <f>SUM(F472:F473)</f>
        <v>26090186.460000001</v>
      </c>
      <c r="G474" s="53">
        <f>SUM(G472:G473)</f>
        <v>529971</v>
      </c>
      <c r="H474" s="53">
        <f>SUM(H472:H473)</f>
        <v>770394.97</v>
      </c>
      <c r="I474" s="53">
        <f>SUM(I472:I473)</f>
        <v>0</v>
      </c>
      <c r="J474" s="53">
        <f>SUM(J472:J473)</f>
        <v>145809.06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996731.16999999806</v>
      </c>
      <c r="G476" s="53">
        <f>(G465+G470)- G474</f>
        <v>35667.440000000061</v>
      </c>
      <c r="H476" s="53">
        <f>(H465+H470)- H474</f>
        <v>201420.79000000004</v>
      </c>
      <c r="I476" s="53">
        <f>(I465+I470)- I474</f>
        <v>0</v>
      </c>
      <c r="J476" s="53">
        <f>(J465+J470)- J474</f>
        <v>805781.22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15</v>
      </c>
      <c r="G490" s="154">
        <v>25</v>
      </c>
      <c r="H490" s="154">
        <v>25</v>
      </c>
      <c r="I490" s="154">
        <v>25</v>
      </c>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t="s">
        <v>1613</v>
      </c>
      <c r="H491" s="155" t="s">
        <v>1616</v>
      </c>
      <c r="I491" s="155" t="s">
        <v>1617</v>
      </c>
      <c r="J491" s="154"/>
      <c r="K491" s="24" t="s">
        <v>288</v>
      </c>
      <c r="L491" s="24" t="s">
        <v>288</v>
      </c>
      <c r="N491" s="265"/>
    </row>
    <row r="492" spans="1:14" s="52" customFormat="1" ht="12.2" customHeight="1" x14ac:dyDescent="0.2">
      <c r="A492" s="22" t="s">
        <v>616</v>
      </c>
      <c r="B492" s="75">
        <v>20</v>
      </c>
      <c r="C492" s="115">
        <v>3</v>
      </c>
      <c r="D492" s="2" t="s">
        <v>432</v>
      </c>
      <c r="E492" s="115"/>
      <c r="F492" s="155" t="s">
        <v>1614</v>
      </c>
      <c r="G492" s="155" t="s">
        <v>1615</v>
      </c>
      <c r="H492" s="155" t="s">
        <v>1618</v>
      </c>
      <c r="I492" s="155" t="s">
        <v>1619</v>
      </c>
      <c r="J492" s="154"/>
      <c r="K492" s="24" t="s">
        <v>288</v>
      </c>
      <c r="L492" s="24" t="s">
        <v>288</v>
      </c>
      <c r="N492" s="265"/>
    </row>
    <row r="493" spans="1:14" s="52" customFormat="1" ht="12.2" customHeight="1" x14ac:dyDescent="0.2">
      <c r="A493" s="22" t="s">
        <v>617</v>
      </c>
      <c r="B493" s="75">
        <v>20</v>
      </c>
      <c r="C493" s="115">
        <v>4</v>
      </c>
      <c r="D493" s="2" t="s">
        <v>432</v>
      </c>
      <c r="E493" s="115"/>
      <c r="F493" s="18">
        <v>2012334</v>
      </c>
      <c r="G493" s="18">
        <v>4450000</v>
      </c>
      <c r="H493" s="18">
        <v>10000000</v>
      </c>
      <c r="I493" s="18">
        <v>7358000</v>
      </c>
      <c r="J493" s="18"/>
      <c r="K493" s="24" t="s">
        <v>288</v>
      </c>
      <c r="L493" s="24" t="s">
        <v>288</v>
      </c>
      <c r="N493" s="265"/>
    </row>
    <row r="494" spans="1:14" s="52" customFormat="1" ht="12.2" customHeight="1" x14ac:dyDescent="0.2">
      <c r="A494" s="22" t="s">
        <v>618</v>
      </c>
      <c r="B494" s="75">
        <v>20</v>
      </c>
      <c r="C494" s="115">
        <v>5</v>
      </c>
      <c r="D494" s="2" t="s">
        <v>432</v>
      </c>
      <c r="E494" s="115"/>
      <c r="F494" s="18">
        <v>2.59</v>
      </c>
      <c r="G494" s="18">
        <v>3.01</v>
      </c>
      <c r="H494" s="18">
        <v>4.12</v>
      </c>
      <c r="I494" s="18">
        <v>4.26</v>
      </c>
      <c r="J494" s="18"/>
      <c r="K494" s="24" t="s">
        <v>288</v>
      </c>
      <c r="L494" s="24" t="s">
        <v>288</v>
      </c>
      <c r="N494" s="265"/>
    </row>
    <row r="495" spans="1:14" s="52" customFormat="1" ht="12.2" customHeight="1" x14ac:dyDescent="0.2">
      <c r="A495" s="22" t="s">
        <v>619</v>
      </c>
      <c r="B495" s="75">
        <v>20</v>
      </c>
      <c r="C495" s="115">
        <v>6</v>
      </c>
      <c r="D495" s="2" t="s">
        <v>432</v>
      </c>
      <c r="E495" s="115"/>
      <c r="F495" s="18">
        <v>1654403</v>
      </c>
      <c r="G495" s="18">
        <v>3738835</v>
      </c>
      <c r="H495" s="18">
        <v>9304642.8399999999</v>
      </c>
      <c r="I495" s="18">
        <v>6943702.0800000001</v>
      </c>
      <c r="J495" s="18"/>
      <c r="K495" s="53">
        <f>SUM(F495:J495)</f>
        <v>21641582.920000002</v>
      </c>
      <c r="L495" s="24" t="s">
        <v>288</v>
      </c>
      <c r="N495" s="265"/>
    </row>
    <row r="496" spans="1:14" s="52" customFormat="1" ht="12.2" customHeight="1" x14ac:dyDescent="0.2">
      <c r="A496" s="22" t="s">
        <v>620</v>
      </c>
      <c r="B496" s="75">
        <v>20</v>
      </c>
      <c r="C496" s="115">
        <v>7</v>
      </c>
      <c r="D496" s="2" t="s">
        <v>432</v>
      </c>
      <c r="E496" s="115"/>
      <c r="F496" s="18">
        <v>0</v>
      </c>
      <c r="G496" s="18">
        <v>0</v>
      </c>
      <c r="H496" s="18">
        <v>0</v>
      </c>
      <c r="I496" s="18">
        <v>0</v>
      </c>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109928</v>
      </c>
      <c r="G497" s="18">
        <v>125669.3</v>
      </c>
      <c r="H497" s="18">
        <v>264309.7</v>
      </c>
      <c r="I497" s="18">
        <v>187315.3</v>
      </c>
      <c r="J497" s="18"/>
      <c r="K497" s="53">
        <f t="shared" si="35"/>
        <v>687222.3</v>
      </c>
      <c r="L497" s="24" t="s">
        <v>288</v>
      </c>
      <c r="N497" s="265"/>
    </row>
    <row r="498" spans="1:14" s="52" customFormat="1" ht="12.2" customHeight="1" x14ac:dyDescent="0.2">
      <c r="A498" s="200" t="s">
        <v>622</v>
      </c>
      <c r="B498" s="201">
        <v>20</v>
      </c>
      <c r="C498" s="202">
        <v>9</v>
      </c>
      <c r="D498" s="203" t="s">
        <v>432</v>
      </c>
      <c r="E498" s="202"/>
      <c r="F498" s="204">
        <v>1544475.31</v>
      </c>
      <c r="G498" s="204">
        <v>3613165</v>
      </c>
      <c r="H498" s="204">
        <v>9040334</v>
      </c>
      <c r="I498" s="204">
        <v>6756386</v>
      </c>
      <c r="J498" s="204"/>
      <c r="K498" s="205">
        <f t="shared" si="35"/>
        <v>20954360.310000002</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1544475.31</v>
      </c>
      <c r="G500" s="42">
        <f>SUM(G498:G499)</f>
        <v>3613165</v>
      </c>
      <c r="H500" s="42">
        <f>SUM(H498:H499)</f>
        <v>9040334</v>
      </c>
      <c r="I500" s="42">
        <f>SUM(I498:I499)</f>
        <v>6756386</v>
      </c>
      <c r="J500" s="42">
        <f>SUM(J498:J499)</f>
        <v>0</v>
      </c>
      <c r="K500" s="42">
        <f t="shared" si="35"/>
        <v>20954360.310000002</v>
      </c>
      <c r="L500" s="45" t="s">
        <v>288</v>
      </c>
      <c r="N500" s="265"/>
    </row>
    <row r="501" spans="1:14" s="52" customFormat="1" ht="12.2" customHeight="1" x14ac:dyDescent="0.2">
      <c r="A501" s="200" t="s">
        <v>651</v>
      </c>
      <c r="B501" s="201">
        <v>20</v>
      </c>
      <c r="C501" s="202">
        <v>12</v>
      </c>
      <c r="D501" s="203" t="s">
        <v>432</v>
      </c>
      <c r="E501" s="202"/>
      <c r="F501" s="204">
        <v>120439</v>
      </c>
      <c r="G501" s="204">
        <v>129186</v>
      </c>
      <c r="H501" s="204">
        <v>274231</v>
      </c>
      <c r="I501" s="204">
        <v>194441</v>
      </c>
      <c r="J501" s="204"/>
      <c r="K501" s="205">
        <f t="shared" si="35"/>
        <v>718297</v>
      </c>
      <c r="L501" s="206" t="s">
        <v>288</v>
      </c>
      <c r="N501" s="265"/>
    </row>
    <row r="502" spans="1:14" s="52" customFormat="1" ht="12.2" customHeight="1" thickBot="1" x14ac:dyDescent="0.25">
      <c r="A502" s="22" t="s">
        <v>625</v>
      </c>
      <c r="B502" s="75">
        <v>20</v>
      </c>
      <c r="C502" s="115">
        <v>13</v>
      </c>
      <c r="D502" s="2" t="s">
        <v>432</v>
      </c>
      <c r="E502" s="115"/>
      <c r="F502" s="18">
        <v>39594</v>
      </c>
      <c r="G502" s="18">
        <v>107284</v>
      </c>
      <c r="H502" s="18">
        <v>368355</v>
      </c>
      <c r="I502" s="18">
        <v>284849</v>
      </c>
      <c r="J502" s="18"/>
      <c r="K502" s="53">
        <f t="shared" si="35"/>
        <v>800082</v>
      </c>
      <c r="L502" s="24" t="s">
        <v>288</v>
      </c>
      <c r="N502" s="265"/>
    </row>
    <row r="503" spans="1:14" s="52" customFormat="1" ht="12.2" customHeight="1" thickTop="1" x14ac:dyDescent="0.2">
      <c r="A503" s="139" t="s">
        <v>626</v>
      </c>
      <c r="B503" s="44">
        <v>20</v>
      </c>
      <c r="C503" s="195">
        <v>14</v>
      </c>
      <c r="D503" s="39" t="s">
        <v>432</v>
      </c>
      <c r="E503" s="195"/>
      <c r="F503" s="42">
        <f>SUM(F501:F502)</f>
        <v>160033</v>
      </c>
      <c r="G503" s="42">
        <f>SUM(G501:G502)</f>
        <v>236470</v>
      </c>
      <c r="H503" s="42">
        <f>SUM(H501:H502)</f>
        <v>642586</v>
      </c>
      <c r="I503" s="42">
        <f>SUM(I501:I502)</f>
        <v>479290</v>
      </c>
      <c r="J503" s="42">
        <f>SUM(J501:J502)</f>
        <v>0</v>
      </c>
      <c r="K503" s="42">
        <f t="shared" si="35"/>
        <v>1518379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1809202.09</v>
      </c>
      <c r="G521" s="18">
        <v>1169897.1099999999</v>
      </c>
      <c r="H521" s="18">
        <v>568903.86</v>
      </c>
      <c r="I521" s="18">
        <v>4357.62</v>
      </c>
      <c r="J521" s="18"/>
      <c r="K521" s="18"/>
      <c r="L521" s="88">
        <f>SUM(F521:K521)</f>
        <v>3552360.68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453557.74</v>
      </c>
      <c r="G523" s="18">
        <v>326627.92</v>
      </c>
      <c r="H523" s="18">
        <v>675448.88</v>
      </c>
      <c r="I523" s="18">
        <v>2416.8500000000004</v>
      </c>
      <c r="J523" s="18"/>
      <c r="K523" s="18"/>
      <c r="L523" s="88">
        <f>SUM(F523:K523)</f>
        <v>1458051.3900000001</v>
      </c>
      <c r="N523" s="265"/>
    </row>
    <row r="524" spans="1:14" s="52" customFormat="1" ht="12.2" customHeight="1" thickTop="1" x14ac:dyDescent="0.2">
      <c r="A524" s="139" t="s">
        <v>63</v>
      </c>
      <c r="B524" s="107">
        <v>21</v>
      </c>
      <c r="C524" s="195">
        <v>4</v>
      </c>
      <c r="D524" s="196" t="s">
        <v>432</v>
      </c>
      <c r="E524" s="195"/>
      <c r="F524" s="108">
        <f>SUM(F521:F523)</f>
        <v>2262759.83</v>
      </c>
      <c r="G524" s="108">
        <f t="shared" ref="G524:L524" si="36">SUM(G521:G523)</f>
        <v>1496525.0299999998</v>
      </c>
      <c r="H524" s="108">
        <f t="shared" si="36"/>
        <v>1244352.74</v>
      </c>
      <c r="I524" s="108">
        <f t="shared" si="36"/>
        <v>6774.47</v>
      </c>
      <c r="J524" s="108">
        <f t="shared" si="36"/>
        <v>0</v>
      </c>
      <c r="K524" s="108">
        <f t="shared" si="36"/>
        <v>0</v>
      </c>
      <c r="L524" s="89">
        <f t="shared" si="36"/>
        <v>5010412.07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315268.82</v>
      </c>
      <c r="G526" s="18">
        <v>123465.11000000002</v>
      </c>
      <c r="H526" s="18">
        <v>583349.16</v>
      </c>
      <c r="I526" s="18">
        <v>178.84</v>
      </c>
      <c r="J526" s="18"/>
      <c r="K526" s="18"/>
      <c r="L526" s="88">
        <f>SUM(F526:K526)</f>
        <v>1022261.93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128771.76000000001</v>
      </c>
      <c r="G528" s="18">
        <v>50429.409999999996</v>
      </c>
      <c r="H528" s="18">
        <v>238342.43</v>
      </c>
      <c r="I528" s="18"/>
      <c r="J528" s="18"/>
      <c r="K528" s="18"/>
      <c r="L528" s="88">
        <f>SUM(F528:K528)</f>
        <v>417543.6</v>
      </c>
      <c r="M528" s="8"/>
      <c r="N528" s="266"/>
    </row>
    <row r="529" spans="1:14" s="3" customFormat="1" ht="12.2" customHeight="1" thickTop="1" x14ac:dyDescent="0.15">
      <c r="A529" s="139" t="s">
        <v>65</v>
      </c>
      <c r="B529" s="107">
        <v>21</v>
      </c>
      <c r="C529" s="107">
        <v>8</v>
      </c>
      <c r="D529" s="158" t="s">
        <v>432</v>
      </c>
      <c r="E529" s="107"/>
      <c r="F529" s="89">
        <f>SUM(F526:F528)</f>
        <v>444040.58</v>
      </c>
      <c r="G529" s="89">
        <f t="shared" ref="G529:L529" si="37">SUM(G526:G528)</f>
        <v>173894.52000000002</v>
      </c>
      <c r="H529" s="89">
        <f t="shared" si="37"/>
        <v>821691.59000000008</v>
      </c>
      <c r="I529" s="89">
        <f t="shared" si="37"/>
        <v>178.84</v>
      </c>
      <c r="J529" s="89">
        <f t="shared" si="37"/>
        <v>0</v>
      </c>
      <c r="K529" s="89">
        <f t="shared" si="37"/>
        <v>0</v>
      </c>
      <c r="L529" s="89">
        <f t="shared" si="37"/>
        <v>1439805.53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67095+36239.82</f>
        <v>103334.82</v>
      </c>
      <c r="G531" s="18">
        <f>35280.58+7499.83+4124.16+11401.09+627.43+2112.14</f>
        <v>61045.23</v>
      </c>
      <c r="H531" s="18">
        <f>4882.41</f>
        <v>4882.41</v>
      </c>
      <c r="I531" s="18">
        <f>591.91+238.52</f>
        <v>830.43</v>
      </c>
      <c r="J531" s="18"/>
      <c r="K531" s="18"/>
      <c r="L531" s="88">
        <f>SUM(F531:K531)</f>
        <v>170092.89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f>27405+14802.18</f>
        <v>42207.18</v>
      </c>
      <c r="G533" s="18">
        <f>14410.38+862.7+3063.31+1684.51+4656.79+256.28</f>
        <v>24933.969999999998</v>
      </c>
      <c r="H533" s="18">
        <f>1994.23</f>
        <v>1994.23</v>
      </c>
      <c r="I533" s="18">
        <f>97.42</f>
        <v>97.42</v>
      </c>
      <c r="J533" s="18"/>
      <c r="K533" s="18"/>
      <c r="L533" s="88">
        <f>SUM(F533:K533)</f>
        <v>69232.799999999988</v>
      </c>
      <c r="M533" s="8"/>
      <c r="N533" s="266"/>
    </row>
    <row r="534" spans="1:14" s="3" customFormat="1" ht="12.2" customHeight="1" thickTop="1" x14ac:dyDescent="0.15">
      <c r="A534" s="139" t="s">
        <v>67</v>
      </c>
      <c r="B534" s="107">
        <v>21</v>
      </c>
      <c r="C534" s="107">
        <v>12</v>
      </c>
      <c r="D534" s="158" t="s">
        <v>432</v>
      </c>
      <c r="E534" s="107"/>
      <c r="F534" s="89">
        <f>SUM(F531:F533)</f>
        <v>145542</v>
      </c>
      <c r="G534" s="89">
        <f t="shared" ref="G534:L534" si="38">SUM(G531:G533)</f>
        <v>85979.199999999997</v>
      </c>
      <c r="H534" s="89">
        <f t="shared" si="38"/>
        <v>6876.6399999999994</v>
      </c>
      <c r="I534" s="89">
        <f t="shared" si="38"/>
        <v>927.84999999999991</v>
      </c>
      <c r="J534" s="89">
        <f t="shared" si="38"/>
        <v>0</v>
      </c>
      <c r="K534" s="89">
        <f t="shared" si="38"/>
        <v>0</v>
      </c>
      <c r="L534" s="89">
        <f t="shared" si="38"/>
        <v>239325.69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10633.58</v>
      </c>
      <c r="I536" s="18"/>
      <c r="J536" s="18"/>
      <c r="K536" s="18"/>
      <c r="L536" s="88">
        <f>SUM(F536:K536)</f>
        <v>10633.58</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v>4343.29</v>
      </c>
      <c r="I538" s="18"/>
      <c r="J538" s="18"/>
      <c r="K538" s="18"/>
      <c r="L538" s="88">
        <f>SUM(F538:K538)</f>
        <v>4343.29</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14976.869999999999</v>
      </c>
      <c r="I539" s="89">
        <f t="shared" si="39"/>
        <v>0</v>
      </c>
      <c r="J539" s="89">
        <f t="shared" si="39"/>
        <v>0</v>
      </c>
      <c r="K539" s="89">
        <f t="shared" si="39"/>
        <v>0</v>
      </c>
      <c r="L539" s="89">
        <f t="shared" si="39"/>
        <v>14976.869999999999</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357770.32999999996</v>
      </c>
      <c r="I541" s="18"/>
      <c r="J541" s="18"/>
      <c r="K541" s="18"/>
      <c r="L541" s="88">
        <f>SUM(F541:K541)</f>
        <v>357770.32999999996</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128465.27</v>
      </c>
      <c r="I543" s="18"/>
      <c r="J543" s="18"/>
      <c r="K543" s="18"/>
      <c r="L543" s="88">
        <f>SUM(F543:K543)</f>
        <v>128465.27</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486235.6</v>
      </c>
      <c r="I544" s="193">
        <f t="shared" si="40"/>
        <v>0</v>
      </c>
      <c r="J544" s="193">
        <f t="shared" si="40"/>
        <v>0</v>
      </c>
      <c r="K544" s="193">
        <f t="shared" si="40"/>
        <v>0</v>
      </c>
      <c r="L544" s="193">
        <f t="shared" si="40"/>
        <v>486235.6</v>
      </c>
      <c r="M544" s="8"/>
      <c r="N544" s="266"/>
    </row>
    <row r="545" spans="1:14" s="3" customFormat="1" ht="12.2" customHeight="1" thickTop="1" x14ac:dyDescent="0.15">
      <c r="A545" s="98" t="s">
        <v>72</v>
      </c>
      <c r="B545" s="107">
        <v>21</v>
      </c>
      <c r="C545" s="107">
        <v>21</v>
      </c>
      <c r="D545" s="158" t="s">
        <v>432</v>
      </c>
      <c r="E545" s="107"/>
      <c r="F545" s="89">
        <f>F524+F529+F534+F539+F544</f>
        <v>2852342.41</v>
      </c>
      <c r="G545" s="89">
        <f t="shared" ref="G545:L545" si="41">G524+G529+G534+G539+G544</f>
        <v>1756398.7499999998</v>
      </c>
      <c r="H545" s="89">
        <f t="shared" si="41"/>
        <v>2574133.44</v>
      </c>
      <c r="I545" s="89">
        <f t="shared" si="41"/>
        <v>7881.16</v>
      </c>
      <c r="J545" s="89">
        <f t="shared" si="41"/>
        <v>0</v>
      </c>
      <c r="K545" s="89">
        <f t="shared" si="41"/>
        <v>0</v>
      </c>
      <c r="L545" s="89">
        <f t="shared" si="41"/>
        <v>7190755.7600000007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3552360.68</v>
      </c>
      <c r="G549" s="87">
        <f>L526</f>
        <v>1022261.93</v>
      </c>
      <c r="H549" s="87">
        <f>L531</f>
        <v>170092.89</v>
      </c>
      <c r="I549" s="87">
        <f>L536</f>
        <v>10633.58</v>
      </c>
      <c r="J549" s="87">
        <f>L541</f>
        <v>357770.32999999996</v>
      </c>
      <c r="K549" s="87">
        <f>SUM(F549:J549)</f>
        <v>5113119.41</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1458051.3900000001</v>
      </c>
      <c r="G551" s="87">
        <f>L528</f>
        <v>417543.6</v>
      </c>
      <c r="H551" s="87">
        <f>L533</f>
        <v>69232.799999999988</v>
      </c>
      <c r="I551" s="87">
        <f>L538</f>
        <v>4343.29</v>
      </c>
      <c r="J551" s="87">
        <f>L543</f>
        <v>128465.27</v>
      </c>
      <c r="K551" s="87">
        <f>SUM(F551:J551)</f>
        <v>2077636.3500000003</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5010412.07</v>
      </c>
      <c r="G552" s="89">
        <f t="shared" si="42"/>
        <v>1439805.53</v>
      </c>
      <c r="H552" s="89">
        <f t="shared" si="42"/>
        <v>239325.69</v>
      </c>
      <c r="I552" s="89">
        <f t="shared" si="42"/>
        <v>14976.869999999999</v>
      </c>
      <c r="J552" s="89">
        <f t="shared" si="42"/>
        <v>486235.6</v>
      </c>
      <c r="K552" s="89">
        <f t="shared" si="42"/>
        <v>7190755.7600000007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f>28750</f>
        <v>28750</v>
      </c>
      <c r="I575" s="87">
        <f>SUM(F575:H575)</f>
        <v>28750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f>170768.8</f>
        <v>170768.8</v>
      </c>
      <c r="I576" s="87">
        <f t="shared" ref="I576:I587" si="47">SUM(F576:H576)</f>
        <v>170768.8</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f>20140.09</f>
        <v>20140.09</v>
      </c>
      <c r="G578" s="18"/>
      <c r="H578" s="18"/>
      <c r="I578" s="87">
        <f t="shared" si="47"/>
        <v>20140.09</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f>2171.61</f>
        <v>2171.61</v>
      </c>
      <c r="I579" s="87">
        <f t="shared" si="47"/>
        <v>2171.61</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539901.34</f>
        <v>539901.34</v>
      </c>
      <c r="G582" s="18"/>
      <c r="H582" s="18">
        <f>281391.28+220523.08</f>
        <v>501914.36</v>
      </c>
      <c r="I582" s="87">
        <f t="shared" si="47"/>
        <v>1041815.7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f>362010.2</f>
        <v>362010.2</v>
      </c>
      <c r="I585" s="87">
        <f t="shared" si="47"/>
        <v>362010.2</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371354.24</f>
        <v>371354.24</v>
      </c>
      <c r="I591" s="18"/>
      <c r="J591" s="18">
        <f>151679.9</f>
        <v>151679.9</v>
      </c>
      <c r="K591" s="104">
        <f t="shared" ref="K591:K597" si="48">SUM(H591:J591)</f>
        <v>523034.14</v>
      </c>
      <c r="L591" s="24" t="s">
        <v>288</v>
      </c>
      <c r="M591" s="8"/>
      <c r="N591" s="266"/>
    </row>
    <row r="592" spans="1:14" s="3" customFormat="1" ht="12.2" customHeight="1" x14ac:dyDescent="0.15">
      <c r="A592" s="3" t="s">
        <v>638</v>
      </c>
      <c r="B592" s="75">
        <v>23</v>
      </c>
      <c r="C592" s="75">
        <v>2</v>
      </c>
      <c r="D592" s="2" t="s">
        <v>432</v>
      </c>
      <c r="E592" s="75"/>
      <c r="F592" s="102">
        <v>2722</v>
      </c>
      <c r="G592" s="103" t="s">
        <v>97</v>
      </c>
      <c r="H592" s="18">
        <f>43251.92+314518.41</f>
        <v>357770.32999999996</v>
      </c>
      <c r="I592" s="18"/>
      <c r="J592" s="18">
        <f>128465.27</f>
        <v>128465.27</v>
      </c>
      <c r="K592" s="104">
        <f t="shared" si="48"/>
        <v>486235.6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72188.800000000003</v>
      </c>
      <c r="K593" s="104">
        <f t="shared" si="48"/>
        <v>72188.800000000003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5925.99</f>
        <v>5925.99</v>
      </c>
      <c r="I594" s="18" t="s">
        <v>286</v>
      </c>
      <c r="J594" s="18">
        <v>41186.79</v>
      </c>
      <c r="K594" s="104">
        <f t="shared" si="48"/>
        <v>47112.78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6165+4368.62+11783.95</f>
        <v>22317.57</v>
      </c>
      <c r="I595" s="18" t="s">
        <v>286</v>
      </c>
      <c r="J595" s="18">
        <v>8325.4599999999991</v>
      </c>
      <c r="K595" s="104">
        <f t="shared" si="48"/>
        <v>30643.03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757368.12999999989</v>
      </c>
      <c r="I598" s="108">
        <f>SUM(I591:I597)</f>
        <v>0</v>
      </c>
      <c r="J598" s="108">
        <f>SUM(J591:J597)</f>
        <v>401846.22</v>
      </c>
      <c r="K598" s="108">
        <f>SUM(K591:K597)</f>
        <v>1159214.3500000001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(156818.91+924.19+64840.03+9314.2+67572.12+3783.12+29642.75+3074.1+2429.2+1060)-45809.2-59755-48583</f>
        <v>185311.41999999998</v>
      </c>
      <c r="I604" s="18"/>
      <c r="J604" s="18">
        <f>(64052.79+377.49+69291.81+12107.6+2516.83)-18710.8-33400</f>
        <v>96235.719999999987</v>
      </c>
      <c r="K604" s="104">
        <f>SUM(H604:J604)</f>
        <v>281547.13999999996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185311.41999999998</v>
      </c>
      <c r="I605" s="108">
        <f>SUM(I602:I604)</f>
        <v>0</v>
      </c>
      <c r="J605" s="108">
        <f>SUM(J602:J604)</f>
        <v>96235.719999999987</v>
      </c>
      <c r="K605" s="108">
        <f>SUM(K602:K604)</f>
        <v>281547.13999999996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21282.29+21960.02</f>
        <v>43242.31</v>
      </c>
      <c r="G611" s="18">
        <f>3308.01+1560.19+3118</f>
        <v>7986.2000000000007</v>
      </c>
      <c r="H611" s="18">
        <f>7407.87+43251.92+20140.09</f>
        <v>70799.88</v>
      </c>
      <c r="I611" s="18"/>
      <c r="J611" s="18"/>
      <c r="K611" s="18"/>
      <c r="L611" s="88">
        <f>SUM(F611:K611)</f>
        <v>122028.39</v>
      </c>
      <c r="M611" s="8"/>
      <c r="N611" s="266"/>
    </row>
    <row r="612" spans="1:14" s="3" customFormat="1" ht="12.2" customHeight="1" x14ac:dyDescent="0.15">
      <c r="A612" s="22" t="s">
        <v>634</v>
      </c>
      <c r="B612" s="75">
        <v>23</v>
      </c>
      <c r="C612" s="75">
        <v>14</v>
      </c>
      <c r="D612" s="2" t="s">
        <v>432</v>
      </c>
      <c r="E612" s="75"/>
      <c r="F612" s="18"/>
      <c r="G612" s="18" t="s">
        <v>286</v>
      </c>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t="s">
        <v>286</v>
      </c>
      <c r="G613" s="18" t="s">
        <v>286</v>
      </c>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43242.31</v>
      </c>
      <c r="G614" s="108">
        <f t="shared" si="49"/>
        <v>7986.2000000000007</v>
      </c>
      <c r="H614" s="108">
        <f t="shared" si="49"/>
        <v>70799.88</v>
      </c>
      <c r="I614" s="108">
        <f t="shared" si="49"/>
        <v>0</v>
      </c>
      <c r="J614" s="108">
        <f t="shared" si="49"/>
        <v>0</v>
      </c>
      <c r="K614" s="108">
        <f t="shared" si="49"/>
        <v>0</v>
      </c>
      <c r="L614" s="89">
        <f t="shared" si="49"/>
        <v>122028.39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1123844.76</v>
      </c>
      <c r="H617" s="109">
        <f>SUM(F52)</f>
        <v>1123844.76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14736.19</v>
      </c>
      <c r="H618" s="109">
        <f>SUM(G52)</f>
        <v>14736.190000000002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67392.960000000006</v>
      </c>
      <c r="H619" s="109">
        <f>SUM(H52)</f>
        <v>67392.959999999992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805781.22</v>
      </c>
      <c r="H621" s="109">
        <f>SUM(J52)</f>
        <v>805781.22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996731.16999999993</v>
      </c>
      <c r="H622" s="109">
        <f>F476</f>
        <v>996731.16999999806</v>
      </c>
      <c r="I622" s="121" t="s">
        <v>101</v>
      </c>
      <c r="J622" s="109">
        <f t="shared" ref="J622:J655" si="50">G622-H622</f>
        <v>1.862645149230957E-9</v>
      </c>
      <c r="K622" s="109"/>
      <c r="L622" s="109"/>
      <c r="M622" s="8"/>
    </row>
    <row r="623" spans="1:14" s="3" customFormat="1" ht="12.2" customHeight="1" x14ac:dyDescent="0.15">
      <c r="A623" s="97"/>
      <c r="B623" s="105"/>
      <c r="C623" s="119"/>
      <c r="D623" s="119"/>
      <c r="E623" s="119"/>
      <c r="F623" s="119" t="s">
        <v>866</v>
      </c>
      <c r="G623" s="109">
        <f>G51</f>
        <v>35667.440000000002</v>
      </c>
      <c r="H623" s="109">
        <f>G476</f>
        <v>35667.440000000061</v>
      </c>
      <c r="I623" s="121" t="s">
        <v>102</v>
      </c>
      <c r="J623" s="109">
        <f t="shared" si="50"/>
        <v>-5.8207660913467407E-11</v>
      </c>
      <c r="K623" s="109"/>
      <c r="L623" s="109"/>
      <c r="M623" s="8"/>
    </row>
    <row r="624" spans="1:14" s="3" customFormat="1" ht="12.2" customHeight="1" x14ac:dyDescent="0.15">
      <c r="A624" s="97"/>
      <c r="B624" s="105"/>
      <c r="C624" s="105"/>
      <c r="D624" s="105"/>
      <c r="E624" s="105"/>
      <c r="F624" s="120" t="s">
        <v>867</v>
      </c>
      <c r="G624" s="109">
        <f>H51</f>
        <v>201420.79</v>
      </c>
      <c r="H624" s="109">
        <f>H476</f>
        <v>201420.79000000004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805781.22</v>
      </c>
      <c r="H626" s="109">
        <f>J476</f>
        <v>805781.22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25558589.34</v>
      </c>
      <c r="H627" s="104">
        <f>SUM(F468)</f>
        <v>25558589.34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539523.42000000004</v>
      </c>
      <c r="H628" s="104">
        <f>SUM(G468)</f>
        <v>539523.42000000004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775195.77</v>
      </c>
      <c r="H629" s="104">
        <f>SUM(H468)</f>
        <v>775195.77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175000</v>
      </c>
      <c r="H631" s="104">
        <f>SUM(J468)</f>
        <v>175000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26090186.460000001</v>
      </c>
      <c r="H632" s="104">
        <f>SUM(F472)</f>
        <v>26090186.460000001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770394.97000000009</v>
      </c>
      <c r="H633" s="104">
        <f>SUM(H472)</f>
        <v>770394.97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529971</v>
      </c>
      <c r="H635" s="104">
        <f>SUM(G472)</f>
        <v>529971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175000</v>
      </c>
      <c r="H637" s="164">
        <f>SUM(J468)</f>
        <v>175000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141738</v>
      </c>
      <c r="H638" s="164">
        <f>SUM(J472)</f>
        <v>141738</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805781.22</v>
      </c>
      <c r="H639" s="104">
        <f>SUM(F461)</f>
        <v>805781.22</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805781.22</v>
      </c>
      <c r="H642" s="104">
        <f>SUM(I461)</f>
        <v>805781.22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t="str">
        <f>J96</f>
        <v xml:space="preserve"> </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175000</v>
      </c>
      <c r="H645" s="104">
        <f>G408</f>
        <v>175000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175000</v>
      </c>
      <c r="H646" s="104">
        <f>L408</f>
        <v>175000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1159214.3500000001</v>
      </c>
      <c r="H647" s="104">
        <f>L208+L226+L244</f>
        <v>1159214.3500000001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281547.13999999996</v>
      </c>
      <c r="H648" s="104">
        <f>(J257+J338)-(J255+J336)</f>
        <v>281547.14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757368.13</v>
      </c>
      <c r="H649" s="104">
        <f>H598</f>
        <v>757368.12999999989</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401846.22</v>
      </c>
      <c r="H651" s="104">
        <f>J598</f>
        <v>401846.22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175000</v>
      </c>
      <c r="H655" s="104">
        <f>K266+K347</f>
        <v>175000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17138616.48</v>
      </c>
      <c r="G660" s="19">
        <f>(L229+L309+L359)</f>
        <v>0</v>
      </c>
      <c r="H660" s="19">
        <f>(L247+L328+L360)</f>
        <v>8359787.8499999987</v>
      </c>
      <c r="I660" s="19">
        <f>SUM(F660:H660)</f>
        <v>25498404.329999998</v>
      </c>
      <c r="J660" s="13"/>
      <c r="K660" s="13"/>
      <c r="L660" s="13"/>
      <c r="M660" s="9"/>
    </row>
    <row r="661" spans="1:13" s="3" customFormat="1" ht="12.2" customHeight="1" x14ac:dyDescent="0.2">
      <c r="A661" s="1" t="s">
        <v>127</v>
      </c>
      <c r="F661" s="19">
        <f>(L358/IF(SUM(L358:L360)=0,1,SUM(L358:L360))*(SUM(G97:G110)))</f>
        <v>161994.50169999999</v>
      </c>
      <c r="G661" s="19">
        <f>(L359/IF(SUM(L358:L360)=0,1,SUM(L358:L360))*(SUM(G97:G110)))</f>
        <v>0</v>
      </c>
      <c r="H661" s="19">
        <f>(L360/IF(SUM(L358:L360)=0,1,SUM(L358:L360))*(SUM(G97:G110)))</f>
        <v>66166.768299999996</v>
      </c>
      <c r="I661" s="19">
        <f>SUM(F661:H661)</f>
        <v>228161.27</v>
      </c>
      <c r="J661"/>
      <c r="K661" s="13"/>
      <c r="L661" s="13"/>
      <c r="M661" s="9"/>
    </row>
    <row r="662" spans="1:13" s="3" customFormat="1" ht="12.2" customHeight="1" x14ac:dyDescent="0.2">
      <c r="A662" s="1" t="s">
        <v>128</v>
      </c>
      <c r="F662" s="19">
        <f>(L208+L287)-(J208+J287)</f>
        <v>757368.13</v>
      </c>
      <c r="G662" s="19">
        <f>(L226+L306)-(J226+J306)</f>
        <v>0</v>
      </c>
      <c r="H662" s="19">
        <f>(L244+L325)-(J244+J325)</f>
        <v>401846.22</v>
      </c>
      <c r="I662" s="19">
        <f>SUM(F662:H662)</f>
        <v>1159214.3500000001</v>
      </c>
      <c r="J662"/>
      <c r="K662" s="13"/>
      <c r="L662" s="13"/>
      <c r="M662" s="8"/>
    </row>
    <row r="663" spans="1:13" s="3" customFormat="1" ht="12.2" customHeight="1" x14ac:dyDescent="0.15">
      <c r="A663" s="198" t="s">
        <v>129</v>
      </c>
      <c r="B663" s="169"/>
      <c r="C663" s="169"/>
      <c r="D663" s="169"/>
      <c r="E663" s="169"/>
      <c r="F663" s="199">
        <f>SUM(F575:F587)+SUM(H602:H604)+SUM(L611)</f>
        <v>867381.23999999987</v>
      </c>
      <c r="G663" s="199">
        <f>SUM(G575:G587)+SUM(I602:I604)+L612</f>
        <v>0</v>
      </c>
      <c r="H663" s="199">
        <f>SUM(H575:H587)+SUM(J602:J604)+L613</f>
        <v>1161850.69</v>
      </c>
      <c r="I663" s="19">
        <f>SUM(F663:H663)</f>
        <v>2029231.9299999997</v>
      </c>
      <c r="J663" s="13"/>
      <c r="K663" s="13"/>
      <c r="L663" s="13"/>
      <c r="M663" s="9"/>
    </row>
    <row r="664" spans="1:13" s="3" customFormat="1" ht="12.2" customHeight="1" x14ac:dyDescent="0.15">
      <c r="A664" s="1" t="s">
        <v>130</v>
      </c>
      <c r="F664" s="19">
        <f>F660-SUM(F661:F663)</f>
        <v>15351872.6083</v>
      </c>
      <c r="G664" s="19">
        <f>G660-SUM(G661:G663)</f>
        <v>0</v>
      </c>
      <c r="H664" s="19">
        <f>H660-SUM(H661:H663)</f>
        <v>6729924.1716999989</v>
      </c>
      <c r="I664" s="19">
        <f>I660-SUM(I661:I663)</f>
        <v>22081796.779999997</v>
      </c>
      <c r="J664" s="13"/>
      <c r="K664" s="13"/>
      <c r="L664" s="13"/>
      <c r="M664" s="9"/>
    </row>
    <row r="665" spans="1:13" s="3" customFormat="1" ht="12.2" customHeight="1" x14ac:dyDescent="0.2">
      <c r="A665" s="1" t="s">
        <v>131</v>
      </c>
      <c r="F665" s="246">
        <v>770.16</v>
      </c>
      <c r="G665" s="247"/>
      <c r="H665" s="247">
        <v>315.14</v>
      </c>
      <c r="I665" s="19">
        <f>SUM(F665:H665)</f>
        <v>1085.3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19933.349999999999</v>
      </c>
      <c r="G667" s="19" t="e">
        <f>ROUND(G664/G665,2)</f>
        <v>#DIV/0!</v>
      </c>
      <c r="H667" s="19">
        <f>ROUND(H664/H665,2)</f>
        <v>21355.35</v>
      </c>
      <c r="I667" s="19">
        <f>ROUND(I664/I665,2)</f>
        <v>20346.259999999998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-12.61</v>
      </c>
      <c r="I670" s="19">
        <f>SUM(F670:H670)</f>
        <v>-12.61</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19933.349999999999</v>
      </c>
      <c r="G672" s="19" t="e">
        <f>ROUND((G664+G669)/(G665+G670),2)</f>
        <v>#DIV/0!</v>
      </c>
      <c r="H672" s="19">
        <f>ROUND((H664+H669)/(H665+H670),2)</f>
        <v>22245.48</v>
      </c>
      <c r="I672" s="19">
        <f>ROUND((I664+I669)/(I665+I670),2)</f>
        <v>20585.439999999999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33" sqref="E3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Mascoma Valley Regional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5921476.5199999996</v>
      </c>
      <c r="C9" s="229">
        <f>'DOE25'!G197+'DOE25'!G215+'DOE25'!G233+'DOE25'!G276+'DOE25'!G295+'DOE25'!G314</f>
        <v>3266538.8800000008</v>
      </c>
    </row>
    <row r="10" spans="1:3" x14ac:dyDescent="0.2">
      <c r="A10" t="s">
        <v>775</v>
      </c>
      <c r="B10" s="240">
        <f>5261788.21+21416.5+8752.65</f>
        <v>5291957.3600000003</v>
      </c>
      <c r="C10" s="240">
        <f>1552558.73+88775.16+387636.04+362.16+902283.99+821.83+1601.13+3717.9</f>
        <v>2937756.94</v>
      </c>
    </row>
    <row r="11" spans="1:3" x14ac:dyDescent="0.2">
      <c r="A11" t="s">
        <v>776</v>
      </c>
      <c r="B11" s="240">
        <f>334920+6183</f>
        <v>341103</v>
      </c>
      <c r="C11" s="240">
        <f>49136.52+2437.9+25451.48+8407.74+462.38+284.52</f>
        <v>86180.540000000008</v>
      </c>
    </row>
    <row r="12" spans="1:3" x14ac:dyDescent="0.2">
      <c r="A12" t="s">
        <v>777</v>
      </c>
      <c r="B12" s="240">
        <f>37633.25+12321.12+52830+174845.79+10786</f>
        <v>288416.16000000003</v>
      </c>
      <c r="C12" s="240">
        <f>10189.16+85000+527.4+22152.29+942.51+557.89+8835.33+140.42+10467.45+883+4836+9201.5+441.32+1472.04+1227.34+85727.75</f>
        <v>242601.40000000002</v>
      </c>
    </row>
    <row r="13" spans="1:3" x14ac:dyDescent="0.2">
      <c r="A13" t="str">
        <f>IF(B9=B13,IF(C9=C13,"Check Total OK","Check Total Error"),"Check Total Error")</f>
        <v>Check Total OK</v>
      </c>
      <c r="B13" s="231">
        <f>SUM(B10:B12)</f>
        <v>5921476.5200000005</v>
      </c>
      <c r="C13" s="231">
        <f>SUM(C10:C12)</f>
        <v>3266538.88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2996949.97</v>
      </c>
      <c r="C18" s="229">
        <f>'DOE25'!G198+'DOE25'!G216+'DOE25'!G234+'DOE25'!G277+'DOE25'!G296+'DOE25'!G315</f>
        <v>1792192.4599999997</v>
      </c>
    </row>
    <row r="19" spans="1:3" x14ac:dyDescent="0.2">
      <c r="A19" t="s">
        <v>775</v>
      </c>
      <c r="B19" s="240">
        <f>1412534.32+1836.55+21282.29</f>
        <v>1435653.1600000001</v>
      </c>
      <c r="C19" s="240">
        <f>384514+23007.21+99251.84+170409.52+3308.01+3118</f>
        <v>683608.58000000007</v>
      </c>
    </row>
    <row r="20" spans="1:3" x14ac:dyDescent="0.2">
      <c r="A20" t="s">
        <v>776</v>
      </c>
      <c r="B20" s="240">
        <f>1321404.95+3759.89+21960.02</f>
        <v>1347124.8599999999</v>
      </c>
      <c r="C20" s="240">
        <f>722202.16+37473.25+276.06+2797.64+94626.47+22860.16+104900.94+183.05+1560.19</f>
        <v>986879.92000000016</v>
      </c>
    </row>
    <row r="21" spans="1:3" x14ac:dyDescent="0.2">
      <c r="A21" t="s">
        <v>777</v>
      </c>
      <c r="B21" s="240">
        <f>94500+51042+41668.95+26961</f>
        <v>214171.95</v>
      </c>
      <c r="C21" s="240">
        <f>49690.96+9201.5+2974.84+441.32+608.86+16.47+3187.8+10563.14+5564.74+5808.67+9760.2+16057.88+414.6+883.71+420.94+349.17+318.82+219.56+2006.83+3068.33+145.62</f>
        <v>121703.96000000002</v>
      </c>
    </row>
    <row r="22" spans="1:3" x14ac:dyDescent="0.2">
      <c r="A22" t="str">
        <f>IF(B18=B22,IF(C18=C22,"Check Total OK","Check Total Error"),"Check Total Error")</f>
        <v>Check Total OK</v>
      </c>
      <c r="B22" s="231">
        <f>SUM(B19:B21)</f>
        <v>2996949.97</v>
      </c>
      <c r="C22" s="231">
        <f>SUM(C19:C21)</f>
        <v>1792192.4600000002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98094.5</v>
      </c>
      <c r="C36" s="235">
        <f>'DOE25'!G200+'DOE25'!G218+'DOE25'!G236+'DOE25'!G279+'DOE25'!G298+'DOE25'!G317</f>
        <v>9407.01</v>
      </c>
    </row>
    <row r="37" spans="1:3" x14ac:dyDescent="0.2">
      <c r="A37" t="s">
        <v>775</v>
      </c>
      <c r="B37" s="240"/>
      <c r="C37" s="240"/>
    </row>
    <row r="38" spans="1:3" x14ac:dyDescent="0.2">
      <c r="A38" t="s">
        <v>776</v>
      </c>
      <c r="B38" s="240"/>
      <c r="C38" s="240"/>
    </row>
    <row r="39" spans="1:3" x14ac:dyDescent="0.2">
      <c r="A39" t="s">
        <v>777</v>
      </c>
      <c r="B39" s="240">
        <f>98094.5</f>
        <v>98094.5</v>
      </c>
      <c r="C39" s="240">
        <f>24.88+4812.94+2672.29+181.05+1715.85</f>
        <v>9407.01</v>
      </c>
    </row>
    <row r="40" spans="1:3" x14ac:dyDescent="0.2">
      <c r="A40" t="str">
        <f>IF(B36=B40,IF(C36=C40,"Check Total OK","Check Total Error"),"Check Total Error")</f>
        <v>Check Total OK</v>
      </c>
      <c r="B40" s="231">
        <f>SUM(B37:B39)</f>
        <v>98094.5</v>
      </c>
      <c r="C40" s="231">
        <f>SUM(C37:C39)</f>
        <v>9407.01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17.5"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Mascoma Valley Regional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16441518.409999998</v>
      </c>
      <c r="D5" s="20">
        <f>SUM('DOE25'!L197:L200)+SUM('DOE25'!L215:L218)+SUM('DOE25'!L233:L236)-F5-G5-H5</f>
        <v>16245459.809999999</v>
      </c>
      <c r="E5" s="243"/>
      <c r="F5" s="244"/>
      <c r="G5" s="53">
        <f>SUM('DOE25'!J197:J200)+SUM('DOE25'!J215:J218)+SUM('DOE25'!J233:J236)</f>
        <v>180736.2</v>
      </c>
      <c r="H5" s="53">
        <f>SUM('DOE25'!K197:K200)+SUM('DOE25'!K215:K218)+SUM('DOE25'!K233:K236)</f>
        <v>15322.4</v>
      </c>
      <c r="I5" s="256"/>
    </row>
    <row r="6" spans="1:9" x14ac:dyDescent="0.2">
      <c r="A6" s="32">
        <v>2100</v>
      </c>
      <c r="B6" t="s">
        <v>796</v>
      </c>
      <c r="C6" s="276">
        <f t="shared" si="0"/>
        <v>1406865.8399999999</v>
      </c>
      <c r="D6" s="20">
        <f>'DOE25'!L202+'DOE25'!L220+'DOE25'!L238-F6-G6-H6</f>
        <v>1393956.95</v>
      </c>
      <c r="E6" s="243"/>
      <c r="F6" s="244"/>
      <c r="G6" s="53">
        <f>'DOE25'!J202+'DOE25'!J220+'DOE25'!J238</f>
        <v>0</v>
      </c>
      <c r="H6" s="53">
        <f>'DOE25'!K202+'DOE25'!K220+'DOE25'!K238</f>
        <v>12908.89</v>
      </c>
      <c r="I6" s="256"/>
    </row>
    <row r="7" spans="1:9" x14ac:dyDescent="0.2">
      <c r="A7" s="32">
        <v>2200</v>
      </c>
      <c r="B7" t="s">
        <v>821</v>
      </c>
      <c r="C7" s="276">
        <f t="shared" si="0"/>
        <v>501850.95</v>
      </c>
      <c r="D7" s="20">
        <f>'DOE25'!L203+'DOE25'!L221+'DOE25'!L239-F7-G7-H7</f>
        <v>501850.95</v>
      </c>
      <c r="E7" s="243"/>
      <c r="F7" s="244"/>
      <c r="G7" s="53">
        <f>'DOE25'!J203+'DOE25'!J221+'DOE25'!J239</f>
        <v>0</v>
      </c>
      <c r="H7" s="53">
        <f>'DOE25'!K203+'DOE25'!K221+'DOE25'!K239</f>
        <v>0</v>
      </c>
      <c r="I7" s="256"/>
    </row>
    <row r="8" spans="1:9" x14ac:dyDescent="0.2">
      <c r="A8" s="32">
        <v>2300</v>
      </c>
      <c r="B8" t="s">
        <v>797</v>
      </c>
      <c r="C8" s="276">
        <f t="shared" si="0"/>
        <v>1465608.6899999997</v>
      </c>
      <c r="D8" s="243"/>
      <c r="E8" s="20">
        <f>'DOE25'!L204+'DOE25'!L222+'DOE25'!L240-F8-G8-H8-D9-D11</f>
        <v>1452376.0599999998</v>
      </c>
      <c r="F8" s="244"/>
      <c r="G8" s="53">
        <f>'DOE25'!J204+'DOE25'!J222+'DOE25'!J240</f>
        <v>1301.68</v>
      </c>
      <c r="H8" s="53">
        <f>'DOE25'!K204+'DOE25'!K222+'DOE25'!K240</f>
        <v>11930.949999999999</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1426156.3800000001</v>
      </c>
      <c r="D12" s="20">
        <f>'DOE25'!L205+'DOE25'!L223+'DOE25'!L241-F12-G12-H12</f>
        <v>1422994.8400000003</v>
      </c>
      <c r="E12" s="243"/>
      <c r="F12" s="244"/>
      <c r="G12" s="53">
        <f>'DOE25'!J205+'DOE25'!J223+'DOE25'!J241</f>
        <v>745.65</v>
      </c>
      <c r="H12" s="53">
        <f>'DOE25'!K205+'DOE25'!K223+'DOE25'!K241</f>
        <v>2415.89</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1790557.7400000002</v>
      </c>
      <c r="D14" s="20">
        <f>'DOE25'!L207+'DOE25'!L225+'DOE25'!L243-F14-G14-H14</f>
        <v>1746407.7300000002</v>
      </c>
      <c r="E14" s="243"/>
      <c r="F14" s="244"/>
      <c r="G14" s="53">
        <f>'DOE25'!J207+'DOE25'!J225+'DOE25'!J243</f>
        <v>44150.01</v>
      </c>
      <c r="H14" s="53">
        <f>'DOE25'!K207+'DOE25'!K225+'DOE25'!K243</f>
        <v>0</v>
      </c>
      <c r="I14" s="256"/>
    </row>
    <row r="15" spans="1:9" x14ac:dyDescent="0.2">
      <c r="A15" s="32">
        <v>2700</v>
      </c>
      <c r="B15" t="s">
        <v>799</v>
      </c>
      <c r="C15" s="276">
        <f t="shared" si="0"/>
        <v>1159214.3500000001</v>
      </c>
      <c r="D15" s="20">
        <f>'DOE25'!L208+'DOE25'!L226+'DOE25'!L244-F15-G15-H15</f>
        <v>1159214.3500000001</v>
      </c>
      <c r="E15" s="243"/>
      <c r="F15" s="244"/>
      <c r="G15" s="53">
        <f>'DOE25'!J208+'DOE25'!J226+'DOE25'!J244</f>
        <v>0</v>
      </c>
      <c r="H15" s="53">
        <f>'DOE25'!K208+'DOE25'!K226+'DOE25'!K244</f>
        <v>0</v>
      </c>
      <c r="I15" s="256"/>
    </row>
    <row r="16" spans="1:9" x14ac:dyDescent="0.2">
      <c r="A16" s="32">
        <v>2800</v>
      </c>
      <c r="B16" t="s">
        <v>800</v>
      </c>
      <c r="C16" s="276">
        <f t="shared" si="0"/>
        <v>6266</v>
      </c>
      <c r="D16" s="243"/>
      <c r="E16" s="20">
        <f>'DOE25'!L209+'DOE25'!L227+'DOE25'!L245-F16-G16-H16</f>
        <v>6266</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206258</v>
      </c>
      <c r="D22" s="243"/>
      <c r="E22" s="243"/>
      <c r="F22" s="243"/>
      <c r="G22" s="53">
        <f>'DOE25'!L255+'DOE25'!L336</f>
        <v>206258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1510890.1</v>
      </c>
      <c r="D25" s="243"/>
      <c r="E25" s="243"/>
      <c r="F25" s="255"/>
      <c r="G25" s="253"/>
      <c r="H25" s="253"/>
      <c r="I25" s="254">
        <f>'DOE25'!L260+'DOE25'!L261+'DOE25'!L341+'DOE25'!L342</f>
        <v>1510890.1</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529971</v>
      </c>
      <c r="D29" s="284">
        <f>'DOE25'!L358+'DOE25'!L359+'DOE25'!L360-'DOE25'!I367-F29-G29-H29</f>
        <v>376279.41000000003</v>
      </c>
      <c r="E29" s="243"/>
      <c r="F29" s="244"/>
      <c r="G29" s="53">
        <f>'DOE25'!H360+'DOE25'!J359+'DOE25'!J360</f>
        <v>153691.59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770394.97000000009</v>
      </c>
      <c r="D31" s="20">
        <f>'DOE25'!L290+'DOE25'!L309+'DOE25'!L328+'DOE25'!L333+'DOE25'!L334+'DOE25'!L335-F31-G31-H31</f>
        <v>702657.56</v>
      </c>
      <c r="E31" s="243"/>
      <c r="F31" s="244"/>
      <c r="G31" s="53">
        <f>'DOE25'!J290+'DOE25'!J309+'DOE25'!J328+'DOE25'!J333+'DOE25'!J334+'DOE25'!J335</f>
        <v>54613.600000000006</v>
      </c>
      <c r="H31" s="53">
        <f>'DOE25'!K290+'DOE25'!K309+'DOE25'!K328+'DOE25'!K333+'DOE25'!K334+'DOE25'!K335</f>
        <v>13123.81</v>
      </c>
      <c r="I31" s="256"/>
    </row>
    <row r="32" spans="1:9" ht="12" thickBot="1" x14ac:dyDescent="0.25">
      <c r="C32" s="277"/>
      <c r="G32" s="251"/>
      <c r="H32" s="251"/>
      <c r="I32" s="258"/>
    </row>
    <row r="33" spans="1:9" ht="12" thickTop="1" x14ac:dyDescent="0.2">
      <c r="B33" t="s">
        <v>809</v>
      </c>
      <c r="D33" s="245">
        <f t="shared" ref="D33:I33" si="1">SUM(D5:D31)</f>
        <v>23548821.599999998</v>
      </c>
      <c r="E33" s="245">
        <f t="shared" si="1"/>
        <v>1458642.0599999998</v>
      </c>
      <c r="F33" s="245">
        <f t="shared" si="1"/>
        <v>0</v>
      </c>
      <c r="G33" s="245">
        <f t="shared" si="1"/>
        <v>641496.73</v>
      </c>
      <c r="H33" s="245">
        <f t="shared" si="1"/>
        <v>55701.939999999995</v>
      </c>
      <c r="I33" s="245">
        <f t="shared" si="1"/>
        <v>1510890.1</v>
      </c>
    </row>
    <row r="35" spans="1:9" ht="12" thickBot="1" x14ac:dyDescent="0.25">
      <c r="B35" s="251" t="s">
        <v>831</v>
      </c>
      <c r="D35" s="252">
        <f>E33</f>
        <v>1458642.0599999998</v>
      </c>
      <c r="E35" s="248"/>
    </row>
    <row r="36" spans="1:9" ht="12" thickTop="1" x14ac:dyDescent="0.2">
      <c r="B36" t="s">
        <v>810</v>
      </c>
      <c r="D36" s="20">
        <f>D33</f>
        <v>23548821.599999998</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algorithmName="SHA-512" hashValue="tJr8xIiuGB06N3XQepoqPsprNGyAKIuiCv8MKP2YMOLadIBQvV+EWlBz2cDz9VcMP2UbsoB2nimK6pwsYKDGKA==" saltValue="tqdjZYrAehkvzRY1fkNh/g==" spinCount="100000" sheet="1" objects="1" scenarios="1"/>
  <mergeCells count="3">
    <mergeCell ref="F2:H2"/>
    <mergeCell ref="A1:H1"/>
    <mergeCell ref="B53:H53"/>
  </mergeCells>
  <phoneticPr fontId="0" type="noConversion"/>
  <pageMargins left="0.5" right="0.5" top="0.5" bottom="0.5"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B2" sqref="B2"/>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Mascoma Valley Regional School District</v>
      </c>
      <c r="B2" s="126">
        <f>'DOE25'!B2</f>
        <v>343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16762337.069999998</v>
      </c>
      <c r="G4" s="303">
        <f>'DOE25'!L211+'DOE25'!L290</f>
        <v>16762337.07</v>
      </c>
      <c r="H4" s="304">
        <f>F4-G4</f>
        <v>0</v>
      </c>
      <c r="I4" s="310" t="str">
        <f>IF(H4=0,"","Does not match DOE25 page 7 and 11 Totals!!")</f>
        <v/>
      </c>
      <c r="N4"/>
    </row>
    <row r="5" spans="1:18" x14ac:dyDescent="0.2">
      <c r="A5" s="21" t="s">
        <v>1260</v>
      </c>
      <c r="B5" s="305">
        <f>IFERROR(VLOOKUP(A5,'School Tables'!$C$3:$D$368,2,FALSE),"")</f>
        <v>21325</v>
      </c>
      <c r="C5" s="297" t="str">
        <f>IFERROR(INDEX('School Tables'!$B$3:$B$368,MATCH('School Level Expenditures'!B5,'School Tables'!$D$3:$D$368,0)),"")</f>
        <v>Mascoma Valley Regional</v>
      </c>
      <c r="D5" s="294">
        <f>3392960.97+849535.83+212626.3</f>
        <v>4455123.0999999996</v>
      </c>
      <c r="E5" s="294">
        <f>214784.89-90307.06+1201.17</f>
        <v>125679.00000000001</v>
      </c>
      <c r="F5" s="313">
        <f>D5+E5</f>
        <v>4580802.0999999996</v>
      </c>
      <c r="G5" s="297"/>
      <c r="H5" s="297"/>
      <c r="I5" s="126"/>
      <c r="N5"/>
    </row>
    <row r="6" spans="1:18" x14ac:dyDescent="0.2">
      <c r="A6" s="21" t="s">
        <v>1259</v>
      </c>
      <c r="B6" s="305">
        <f>IFERROR(VLOOKUP(A6,'School Tables'!$C$3:$D$368,2,FALSE),"")</f>
        <v>21315</v>
      </c>
      <c r="C6" s="297" t="str">
        <f>IFERROR(INDEX('School Tables'!$B$3:$B$368,MATCH('School Level Expenditures'!B6,'School Tables'!$D$3:$D$368,0)),"")</f>
        <v>Mascoma Valley Regional</v>
      </c>
      <c r="D6" s="294">
        <f>3352482.53+1049426.62+262656.02</f>
        <v>4664565.17</v>
      </c>
      <c r="E6" s="294">
        <f>259531.74-109121.02+1451.41</f>
        <v>151862.12999999998</v>
      </c>
      <c r="F6" s="308">
        <f>D6+E6</f>
        <v>4816427.3</v>
      </c>
      <c r="G6" s="297"/>
      <c r="H6" s="297"/>
      <c r="I6" s="126"/>
      <c r="N6"/>
    </row>
    <row r="7" spans="1:18" x14ac:dyDescent="0.2">
      <c r="A7" s="21" t="s">
        <v>1261</v>
      </c>
      <c r="B7" s="305">
        <f>IFERROR(VLOOKUP(A7,'School Tables'!$C$3:$D$368,2,FALSE),"")</f>
        <v>26405</v>
      </c>
      <c r="C7" s="297" t="str">
        <f>IFERROR(INDEX('School Tables'!$B$3:$B$368,MATCH('School Level Expenditures'!B7,'School Tables'!$D$3:$D$368,0)),"")</f>
        <v>Mascoma Valley Regional</v>
      </c>
      <c r="D7" s="294">
        <f>5057142.14+1649098.97+412745.19</f>
        <v>7118986.2999999998</v>
      </c>
      <c r="E7" s="294">
        <f>420620.42-176851.33+2352.28</f>
        <v>246121.37</v>
      </c>
      <c r="F7" s="308">
        <f>D7+E7</f>
        <v>7365107.6699999999</v>
      </c>
      <c r="G7" s="297"/>
      <c r="H7" s="297"/>
      <c r="I7" s="126"/>
      <c r="N7"/>
    </row>
    <row r="8" spans="1:18" x14ac:dyDescent="0.2">
      <c r="A8" s="21"/>
      <c r="B8" s="305"/>
      <c r="C8" s="297" t="str">
        <f>IFERROR(INDEX('School Tables'!$B$3:$B$368,MATCH('School Level Expenditures'!B8,'School Tables'!$D$3:$D$368,0)),"")</f>
        <v/>
      </c>
      <c r="D8" s="294"/>
      <c r="E8" s="294"/>
      <c r="F8" s="308">
        <f t="shared" ref="F8:F20" si="0">D8+E8</f>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8206096.2599999998</v>
      </c>
      <c r="G36" s="303">
        <f>'DOE25'!L247+'DOE25'!L328</f>
        <v>8206096.2599999988</v>
      </c>
      <c r="H36" s="304">
        <f>F36-G36</f>
        <v>0</v>
      </c>
      <c r="I36" s="310" t="str">
        <f>IF(H36=0,"","Does not match DOE25 page 9 and 13 Totals!!")</f>
        <v/>
      </c>
      <c r="N36"/>
    </row>
    <row r="37" spans="1:14" x14ac:dyDescent="0.2">
      <c r="A37" s="21" t="s">
        <v>1258</v>
      </c>
      <c r="B37" s="305">
        <f>IFERROR(VLOOKUP(A37,'School Tables'!$O$3:$P$122,2,FALSE),"")</f>
        <v>21305</v>
      </c>
      <c r="C37" s="297" t="str">
        <f t="array" ref="C37">IFERROR(INDEX('School Tables'!$N$3:$N$122,MATCH('School Level Expenditures'!B37,'School Tables'!$P$3:$P$122,0)),"")</f>
        <v>Mascoma Valley Regional</v>
      </c>
      <c r="D37" s="294">
        <f>1449208.19+362715.46+6347726.88</f>
        <v>8159650.5299999993</v>
      </c>
      <c r="E37" s="294">
        <f>(153691.59+5293.98+32401.34+2074.95+1483+5377.64+3935.18+884.5)-158696.45</f>
        <v>46445.73000000001</v>
      </c>
      <c r="F37" s="308">
        <f>D37+E37</f>
        <v>8206096.2599999998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9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Mascoma Valley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668244.30000000005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-226682.36</v>
      </c>
      <c r="D11" s="95">
        <f>'DOE25'!G12</f>
        <v>0</v>
      </c>
      <c r="E11" s="95">
        <f>'DOE25'!H12</f>
        <v>0</v>
      </c>
      <c r="F11" s="95">
        <f>'DOE25'!I12</f>
        <v>0</v>
      </c>
      <c r="G11" s="95">
        <f>'DOE25'!J12</f>
        <v>805781.22</v>
      </c>
      <c r="H11" s="124"/>
      <c r="I11" s="124"/>
    </row>
    <row r="12" spans="1:9" x14ac:dyDescent="0.2">
      <c r="A12" s="1" t="s">
        <v>143</v>
      </c>
      <c r="B12" s="6">
        <v>140</v>
      </c>
      <c r="C12" s="95">
        <f>'DOE25'!F13</f>
        <v>0</v>
      </c>
      <c r="D12" s="95">
        <f>'DOE25'!G13</f>
        <v>13279.17</v>
      </c>
      <c r="E12" s="95">
        <f>'DOE25'!H13</f>
        <v>66280.960000000006</v>
      </c>
      <c r="F12" s="95">
        <f>'DOE25'!I13</f>
        <v>0</v>
      </c>
      <c r="G12" s="95">
        <f>'DOE25'!J13</f>
        <v>0</v>
      </c>
      <c r="H12" s="124"/>
      <c r="I12" s="124"/>
    </row>
    <row r="13" spans="1:9" x14ac:dyDescent="0.2">
      <c r="A13" s="1" t="s">
        <v>144</v>
      </c>
      <c r="B13" s="6">
        <v>150</v>
      </c>
      <c r="C13" s="95">
        <f>'DOE25'!F14</f>
        <v>682282.82</v>
      </c>
      <c r="D13" s="95">
        <f>'DOE25'!G14</f>
        <v>1457.02</v>
      </c>
      <c r="E13" s="95">
        <f>'DOE25'!H14</f>
        <v>1112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1123844.76</v>
      </c>
      <c r="D18" s="41">
        <f>SUM(D8:D17)</f>
        <v>14736.19</v>
      </c>
      <c r="E18" s="41">
        <f>SUM(E8:E17)</f>
        <v>67392.960000000006</v>
      </c>
      <c r="F18" s="41">
        <f>SUM(F8:F17)</f>
        <v>0</v>
      </c>
      <c r="G18" s="41">
        <f>SUM(G8:G17)</f>
        <v>805781.22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-92654.53</v>
      </c>
      <c r="E21" s="95">
        <f>'DOE25'!H22</f>
        <v>-134027.83000000002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71487.929999999993</v>
      </c>
      <c r="D23" s="95">
        <f>'DOE25'!G24</f>
        <v>62380.5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54991.35</v>
      </c>
      <c r="D27" s="95">
        <f>'DOE25'!G28</f>
        <v>0</v>
      </c>
      <c r="E27" s="95">
        <f>'DOE25'!H28</f>
        <v>0</v>
      </c>
      <c r="F27" s="95">
        <f>'DOE25'!I28</f>
        <v>0</v>
      </c>
      <c r="G27" s="24" t="s">
        <v>288</v>
      </c>
      <c r="H27" s="124"/>
      <c r="I27" s="124"/>
    </row>
    <row r="28" spans="1:9" x14ac:dyDescent="0.2">
      <c r="A28" s="1" t="s">
        <v>157</v>
      </c>
      <c r="B28" s="6">
        <v>470</v>
      </c>
      <c r="C28" s="95">
        <f>'DOE25'!F29</f>
        <v>632.93000000000006</v>
      </c>
      <c r="D28" s="95">
        <f>'DOE25'!G29</f>
        <v>0</v>
      </c>
      <c r="E28" s="95">
        <f>'DOE25'!H29</f>
        <v>0</v>
      </c>
      <c r="F28" s="95">
        <f>'DOE25'!I29</f>
        <v>0</v>
      </c>
      <c r="G28" s="24" t="s">
        <v>288</v>
      </c>
      <c r="H28" s="124"/>
      <c r="I28" s="124"/>
    </row>
    <row r="29" spans="1:9" x14ac:dyDescent="0.2">
      <c r="A29" s="1" t="s">
        <v>158</v>
      </c>
      <c r="B29" s="6">
        <v>480</v>
      </c>
      <c r="C29" s="95">
        <f>'DOE25'!F30</f>
        <v>1.38</v>
      </c>
      <c r="D29" s="95">
        <f>'DOE25'!G30</f>
        <v>9342.7800000000007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127113.59</v>
      </c>
      <c r="D31" s="41">
        <f>SUM(D21:D30)</f>
        <v>-20931.25</v>
      </c>
      <c r="E31" s="41">
        <f>SUM(E21:E30)</f>
        <v>-134027.83000000002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35667.440000000002</v>
      </c>
      <c r="E47" s="95">
        <f>'DOE25'!H48</f>
        <v>201420.79</v>
      </c>
      <c r="F47" s="95">
        <f>'DOE25'!I48</f>
        <v>0</v>
      </c>
      <c r="G47" s="95">
        <f>'DOE25'!J48</f>
        <v>805781.22</v>
      </c>
      <c r="H47" s="124"/>
      <c r="I47" s="124"/>
    </row>
    <row r="48" spans="1:9" x14ac:dyDescent="0.2">
      <c r="A48" s="1" t="s">
        <v>882</v>
      </c>
      <c r="B48" s="6">
        <v>753</v>
      </c>
      <c r="C48" s="95">
        <f>'DOE25'!F49</f>
        <v>18007.490000000002</v>
      </c>
      <c r="D48" s="95">
        <f>'DOE25'!G49</f>
        <v>0</v>
      </c>
      <c r="E48" s="95">
        <f>'DOE25'!H49</f>
        <v>0</v>
      </c>
      <c r="F48" s="95">
        <f>'DOE25'!I49</f>
        <v>0</v>
      </c>
      <c r="G48" s="95">
        <f>'DOE25'!J49</f>
        <v>0</v>
      </c>
      <c r="H48" s="124"/>
      <c r="I48" s="124"/>
    </row>
    <row r="49" spans="1:9" ht="12" thickBot="1" x14ac:dyDescent="0.25">
      <c r="A49" s="29" t="s">
        <v>883</v>
      </c>
      <c r="B49" s="71">
        <v>770</v>
      </c>
      <c r="C49" s="95">
        <f>'DOE25'!F50</f>
        <v>453723.68</v>
      </c>
      <c r="D49" s="24" t="s">
        <v>288</v>
      </c>
      <c r="E49" s="24" t="s">
        <v>288</v>
      </c>
      <c r="F49" s="24" t="s">
        <v>288</v>
      </c>
      <c r="G49" s="24" t="s">
        <v>288</v>
      </c>
      <c r="H49" s="124"/>
      <c r="I49" s="124"/>
    </row>
    <row r="50" spans="1:9" ht="12.75" thickTop="1" thickBot="1" x14ac:dyDescent="0.25">
      <c r="A50" s="38" t="s">
        <v>884</v>
      </c>
      <c r="B50" s="48"/>
      <c r="C50" s="41">
        <f>SUM(C34:C49)</f>
        <v>996731.16999999993</v>
      </c>
      <c r="D50" s="41">
        <f>SUM(D34:D49)</f>
        <v>35667.440000000002</v>
      </c>
      <c r="E50" s="41">
        <f>SUM(E34:E49)</f>
        <v>201420.79</v>
      </c>
      <c r="F50" s="41">
        <f>SUM(F34:F49)</f>
        <v>0</v>
      </c>
      <c r="G50" s="41">
        <f>SUM(G34:G49)</f>
        <v>805781.22</v>
      </c>
      <c r="H50" s="124"/>
      <c r="I50" s="124"/>
    </row>
    <row r="51" spans="1:9" ht="12" thickTop="1" x14ac:dyDescent="0.2">
      <c r="A51" s="38" t="s">
        <v>885</v>
      </c>
      <c r="B51" s="2"/>
      <c r="C51" s="41">
        <f>C50+C31</f>
        <v>1123844.76</v>
      </c>
      <c r="D51" s="41">
        <f>D50+D31</f>
        <v>14736.190000000002</v>
      </c>
      <c r="E51" s="41">
        <f>E50+E31</f>
        <v>67392.959999999992</v>
      </c>
      <c r="F51" s="41">
        <f>F50+F31</f>
        <v>0</v>
      </c>
      <c r="G51" s="41">
        <f>G50+G31</f>
        <v>805781.22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18295349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88780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8931.35</v>
      </c>
      <c r="D59" s="95">
        <f>'DOE25'!G96</f>
        <v>0</v>
      </c>
      <c r="E59" s="95">
        <f>'DOE25'!H96</f>
        <v>0</v>
      </c>
      <c r="F59" s="95">
        <f>'DOE25'!I96</f>
        <v>0</v>
      </c>
      <c r="G59" s="95" t="str">
        <f>'DOE25'!J96</f>
        <v xml:space="preserve"> </v>
      </c>
      <c r="H59"/>
      <c r="I59"/>
    </row>
    <row r="60" spans="1:9" x14ac:dyDescent="0.2">
      <c r="A60" s="1" t="s">
        <v>170</v>
      </c>
      <c r="B60" s="118" t="s">
        <v>171</v>
      </c>
      <c r="C60" s="24" t="s">
        <v>288</v>
      </c>
      <c r="D60" s="95">
        <f>'DOE25'!G97</f>
        <v>228161.27</v>
      </c>
      <c r="E60" s="24" t="s">
        <v>288</v>
      </c>
      <c r="F60" s="24" t="s">
        <v>288</v>
      </c>
      <c r="G60" s="24" t="s">
        <v>288</v>
      </c>
      <c r="H60"/>
      <c r="I60"/>
    </row>
    <row r="61" spans="1:9" ht="12" thickBot="1" x14ac:dyDescent="0.25">
      <c r="A61" s="1" t="s">
        <v>172</v>
      </c>
      <c r="B61" s="118" t="s">
        <v>173</v>
      </c>
      <c r="C61" s="95">
        <f>SUM('DOE25'!F98:F110)</f>
        <v>31748.9</v>
      </c>
      <c r="D61" s="95">
        <f>SUM('DOE25'!G98:G110)</f>
        <v>0</v>
      </c>
      <c r="E61" s="95">
        <f>SUM('DOE25'!H98:H110)</f>
        <v>116307.54</v>
      </c>
      <c r="F61" s="95">
        <f>SUM('DOE25'!I98:I110)</f>
        <v>0</v>
      </c>
      <c r="G61" s="95">
        <f>SUM('DOE25'!J98:J110)</f>
        <v>0</v>
      </c>
      <c r="H61"/>
      <c r="I61"/>
    </row>
    <row r="62" spans="1:9" ht="12.75" thickTop="1" thickBot="1" x14ac:dyDescent="0.25">
      <c r="A62" s="29" t="s">
        <v>174</v>
      </c>
      <c r="B62" s="6"/>
      <c r="C62" s="130">
        <f>SUM(C57:C61)</f>
        <v>40680.25</v>
      </c>
      <c r="D62" s="130">
        <f>SUM(D57:D61)</f>
        <v>228161.27</v>
      </c>
      <c r="E62" s="130">
        <f>SUM(E57:E61)</f>
        <v>205087.53999999998</v>
      </c>
      <c r="F62" s="130">
        <f>SUM(F57:F61)</f>
        <v>0</v>
      </c>
      <c r="G62" s="130">
        <f>SUM(G57:G61)</f>
        <v>0</v>
      </c>
      <c r="H62"/>
      <c r="I62"/>
    </row>
    <row r="63" spans="1:9" ht="12" thickTop="1" x14ac:dyDescent="0.2">
      <c r="A63" s="29" t="s">
        <v>175</v>
      </c>
      <c r="B63" s="6"/>
      <c r="C63" s="22">
        <f>C56+C62</f>
        <v>18336029.25</v>
      </c>
      <c r="D63" s="22">
        <f>D56+D62</f>
        <v>228161.27</v>
      </c>
      <c r="E63" s="22">
        <f>E56+E62</f>
        <v>205087.53999999998</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4123526.14</v>
      </c>
      <c r="D66" s="24" t="s">
        <v>288</v>
      </c>
      <c r="E66" s="24" t="s">
        <v>288</v>
      </c>
      <c r="F66" s="24" t="s">
        <v>288</v>
      </c>
      <c r="G66" s="24" t="s">
        <v>288</v>
      </c>
      <c r="H66"/>
      <c r="I66"/>
    </row>
    <row r="67" spans="1:9" x14ac:dyDescent="0.2">
      <c r="A67" s="1" t="s">
        <v>770</v>
      </c>
      <c r="B67" s="6">
        <v>3112</v>
      </c>
      <c r="C67" s="95">
        <f>'DOE25'!F118</f>
        <v>2361424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1956.09</v>
      </c>
      <c r="D69" s="95">
        <f>'DOE25'!G120</f>
        <v>0</v>
      </c>
      <c r="E69" s="95">
        <f>'DOE25'!H120</f>
        <v>0</v>
      </c>
      <c r="F69" s="95">
        <f>'DOE25'!I120</f>
        <v>0</v>
      </c>
      <c r="G69" s="95">
        <f>'DOE25'!J120</f>
        <v>0</v>
      </c>
      <c r="H69"/>
      <c r="I69"/>
    </row>
    <row r="70" spans="1:9" ht="12" thickTop="1" x14ac:dyDescent="0.2">
      <c r="A70" s="29" t="s">
        <v>252</v>
      </c>
      <c r="B70" s="2"/>
      <c r="C70" s="139">
        <f>SUM(C66:C69)</f>
        <v>6486906.2300000004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80542.55</v>
      </c>
      <c r="D74" s="24"/>
      <c r="E74" s="24"/>
      <c r="F74" s="24"/>
      <c r="G74" s="24"/>
      <c r="H74"/>
      <c r="I74"/>
    </row>
    <row r="75" spans="1:9" x14ac:dyDescent="0.2">
      <c r="A75" s="1" t="s">
        <v>256</v>
      </c>
      <c r="B75" s="6">
        <v>3230</v>
      </c>
      <c r="C75" s="95">
        <f>'DOE25'!F126</f>
        <v>86418.3</v>
      </c>
      <c r="D75" s="24" t="s">
        <v>288</v>
      </c>
      <c r="E75" s="24" t="s">
        <v>288</v>
      </c>
      <c r="F75" s="24" t="s">
        <v>288</v>
      </c>
      <c r="G75" s="24" t="s">
        <v>288</v>
      </c>
      <c r="H75"/>
      <c r="I75"/>
    </row>
    <row r="76" spans="1:9" x14ac:dyDescent="0.2">
      <c r="A76" s="1" t="s">
        <v>257</v>
      </c>
      <c r="B76" s="6" t="s">
        <v>179</v>
      </c>
      <c r="C76" s="95">
        <f>SUM('DOE25'!F127:F130)</f>
        <v>136652.29999999999</v>
      </c>
      <c r="D76" s="24" t="s">
        <v>288</v>
      </c>
      <c r="E76" s="95">
        <f>SUM('DOE25'!H127:H130)</f>
        <v>0</v>
      </c>
      <c r="F76" s="95">
        <f>SUM('DOE25'!I127:I130)</f>
        <v>0</v>
      </c>
      <c r="G76" s="24" t="s">
        <v>288</v>
      </c>
      <c r="H76"/>
      <c r="I76"/>
    </row>
    <row r="77" spans="1:9" ht="12" thickBot="1" x14ac:dyDescent="0.25">
      <c r="A77" s="1" t="s">
        <v>258</v>
      </c>
      <c r="B77" s="6" t="s">
        <v>180</v>
      </c>
      <c r="C77" s="95">
        <f>SUM('DOE25'!F131:F135)</f>
        <v>70093.990000000005</v>
      </c>
      <c r="D77" s="95">
        <f>SUM('DOE25'!G131:G135)</f>
        <v>6361.07</v>
      </c>
      <c r="E77" s="95">
        <f>SUM('DOE25'!H131:H135)</f>
        <v>0</v>
      </c>
      <c r="F77" s="95">
        <f>SUM('DOE25'!I131:I135)</f>
        <v>0</v>
      </c>
      <c r="G77" s="95">
        <f>SUM('DOE25'!J131:J135)</f>
        <v>0</v>
      </c>
      <c r="H77"/>
      <c r="I77"/>
    </row>
    <row r="78" spans="1:9" ht="12.75" thickTop="1" thickBot="1" x14ac:dyDescent="0.25">
      <c r="A78" s="29" t="s">
        <v>259</v>
      </c>
      <c r="B78" s="6"/>
      <c r="C78" s="130">
        <f>SUM(C72:C77)</f>
        <v>373707.14</v>
      </c>
      <c r="D78" s="130">
        <f>SUM(D72:D77)</f>
        <v>6361.07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6860613.3700000001</v>
      </c>
      <c r="D81" s="130">
        <f>SUM(D79:D80)+D78+D70</f>
        <v>6361.07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217626.14</v>
      </c>
      <c r="D88" s="95">
        <f>SUM('DOE25'!G153:G161)</f>
        <v>305001.08</v>
      </c>
      <c r="E88" s="95">
        <f>SUM('DOE25'!H153:H161)</f>
        <v>570108.23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2582.58</v>
      </c>
      <c r="D90" s="24" t="s">
        <v>288</v>
      </c>
      <c r="E90" s="24" t="s">
        <v>288</v>
      </c>
      <c r="F90" s="24" t="s">
        <v>288</v>
      </c>
      <c r="G90" s="24" t="s">
        <v>288</v>
      </c>
    </row>
    <row r="91" spans="1:9" ht="12.75" thickTop="1" thickBot="1" x14ac:dyDescent="0.25">
      <c r="A91" s="33" t="s">
        <v>750</v>
      </c>
      <c r="C91" s="131">
        <f>SUM(C85:C90)</f>
        <v>220208.72</v>
      </c>
      <c r="D91" s="131">
        <f>SUM(D85:D90)</f>
        <v>305001.08</v>
      </c>
      <c r="E91" s="131">
        <f>SUM(E85:E90)</f>
        <v>570108.23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141738</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141738</v>
      </c>
      <c r="D103" s="86">
        <f>SUM(D93:D102)</f>
        <v>0</v>
      </c>
      <c r="E103" s="86">
        <f>SUM(E93:E102)</f>
        <v>0</v>
      </c>
      <c r="F103" s="86">
        <f>SUM(F93:F102)</f>
        <v>0</v>
      </c>
      <c r="G103" s="86">
        <f>SUM(G93:G102)</f>
        <v>175000</v>
      </c>
    </row>
    <row r="104" spans="1:7" ht="12.75" thickTop="1" thickBot="1" x14ac:dyDescent="0.25">
      <c r="A104" s="33" t="s">
        <v>761</v>
      </c>
      <c r="C104" s="86">
        <f>C63+C81+C91+C103</f>
        <v>25558589.34</v>
      </c>
      <c r="D104" s="86">
        <f>D63+D81+D91+D103</f>
        <v>539523.42000000004</v>
      </c>
      <c r="E104" s="86">
        <f>E63+E81+E91+E103</f>
        <v>775195.77</v>
      </c>
      <c r="F104" s="86">
        <f>F63+F81+F91+F103</f>
        <v>0</v>
      </c>
      <c r="G104" s="86">
        <f>G63+G81+G103</f>
        <v>175000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9531704.1400000006</v>
      </c>
      <c r="D109" s="24" t="s">
        <v>288</v>
      </c>
      <c r="E109" s="95">
        <f>('DOE25'!L276)+('DOE25'!L295)+('DOE25'!L314)</f>
        <v>219094.08000000002</v>
      </c>
      <c r="F109" s="24" t="s">
        <v>288</v>
      </c>
      <c r="G109" s="24" t="s">
        <v>288</v>
      </c>
    </row>
    <row r="110" spans="1:7" x14ac:dyDescent="0.2">
      <c r="A110" t="s">
        <v>198</v>
      </c>
      <c r="B110" s="32" t="s">
        <v>199</v>
      </c>
      <c r="C110" s="95">
        <f>('DOE25'!L198)+('DOE25'!L216)+('DOE25'!L234)</f>
        <v>6297310.9399999995</v>
      </c>
      <c r="D110" s="24" t="s">
        <v>288</v>
      </c>
      <c r="E110" s="95">
        <f>('DOE25'!L277)+('DOE25'!L296)+('DOE25'!L315)</f>
        <v>325787.68</v>
      </c>
      <c r="F110" s="24" t="s">
        <v>288</v>
      </c>
      <c r="G110" s="24" t="s">
        <v>288</v>
      </c>
    </row>
    <row r="111" spans="1:7" x14ac:dyDescent="0.2">
      <c r="A111" t="s">
        <v>200</v>
      </c>
      <c r="B111" s="32" t="s">
        <v>165</v>
      </c>
      <c r="C111" s="95">
        <f>('DOE25'!L199)+('DOE25'!L217)+('DOE25'!L235)</f>
        <v>362010.2</v>
      </c>
      <c r="D111" s="24" t="s">
        <v>288</v>
      </c>
      <c r="E111" s="95">
        <f>('DOE25'!L278)+('DOE25'!L297)+('DOE25'!L316)</f>
        <v>0</v>
      </c>
      <c r="F111" s="24" t="s">
        <v>288</v>
      </c>
      <c r="G111" s="24" t="s">
        <v>288</v>
      </c>
    </row>
    <row r="112" spans="1:7" x14ac:dyDescent="0.2">
      <c r="A112" t="s">
        <v>201</v>
      </c>
      <c r="B112" s="32" t="s">
        <v>167</v>
      </c>
      <c r="C112" s="95">
        <f>('DOE25'!L200)+('DOE25'!L218)+('DOE25'!L236)</f>
        <v>250493.13</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16441518.41</v>
      </c>
      <c r="D115" s="86">
        <f>SUM(D109:D114)</f>
        <v>0</v>
      </c>
      <c r="E115" s="86">
        <f>SUM(E109:E114)</f>
        <v>544881.76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1406865.8399999999</v>
      </c>
      <c r="D118" s="24" t="s">
        <v>288</v>
      </c>
      <c r="E118" s="95">
        <f>+('DOE25'!L281)+('DOE25'!L300)+('DOE25'!L319)</f>
        <v>145899.01999999999</v>
      </c>
      <c r="F118" s="24" t="s">
        <v>288</v>
      </c>
      <c r="G118" s="24" t="s">
        <v>288</v>
      </c>
    </row>
    <row r="119" spans="1:7" x14ac:dyDescent="0.2">
      <c r="A119" t="s">
        <v>208</v>
      </c>
      <c r="B119" s="32" t="s">
        <v>209</v>
      </c>
      <c r="C119" s="95">
        <f>('DOE25'!L203)+('DOE25'!L221)+('DOE25'!L239)</f>
        <v>501850.95</v>
      </c>
      <c r="D119" s="24" t="s">
        <v>288</v>
      </c>
      <c r="E119" s="95">
        <f>+('DOE25'!L282)+('DOE25'!L301)+('DOE25'!L320)</f>
        <v>75925.89</v>
      </c>
      <c r="F119" s="24" t="s">
        <v>288</v>
      </c>
      <c r="G119" s="24" t="s">
        <v>288</v>
      </c>
    </row>
    <row r="120" spans="1:7" x14ac:dyDescent="0.2">
      <c r="A120" t="s">
        <v>210</v>
      </c>
      <c r="B120" s="32" t="s">
        <v>211</v>
      </c>
      <c r="C120" s="95">
        <f>('DOE25'!L204)+('DOE25'!L222)+('DOE25'!L240)</f>
        <v>1465608.6899999997</v>
      </c>
      <c r="D120" s="24" t="s">
        <v>288</v>
      </c>
      <c r="E120" s="95">
        <f>+('DOE25'!L283)+('DOE25'!L302)+('DOE25'!L321)</f>
        <v>0</v>
      </c>
      <c r="F120" s="24" t="s">
        <v>288</v>
      </c>
      <c r="G120" s="24" t="s">
        <v>288</v>
      </c>
    </row>
    <row r="121" spans="1:7" x14ac:dyDescent="0.2">
      <c r="A121" t="s">
        <v>212</v>
      </c>
      <c r="B121" s="32" t="s">
        <v>213</v>
      </c>
      <c r="C121" s="95">
        <f>('DOE25'!L205)+('DOE25'!L223)+('DOE25'!L241)</f>
        <v>1426156.3800000001</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1790557.7400000002</v>
      </c>
      <c r="D123" s="24" t="s">
        <v>288</v>
      </c>
      <c r="E123" s="95">
        <f>+('DOE25'!L286)+('DOE25'!L305)+('DOE25'!L324)</f>
        <v>3688.3</v>
      </c>
      <c r="F123" s="24" t="s">
        <v>288</v>
      </c>
      <c r="G123" s="24" t="s">
        <v>288</v>
      </c>
    </row>
    <row r="124" spans="1:7" x14ac:dyDescent="0.2">
      <c r="A124" t="s">
        <v>218</v>
      </c>
      <c r="B124" s="32" t="s">
        <v>219</v>
      </c>
      <c r="C124" s="95">
        <f>('DOE25'!L208)+('DOE25'!L226)+('DOE25'!L244+'DOE25'!L254)</f>
        <v>1159214.3500000001</v>
      </c>
      <c r="D124" s="24" t="s">
        <v>288</v>
      </c>
      <c r="E124" s="95">
        <f>+('DOE25'!L287)+('DOE25'!L306)+('DOE25'!L325)</f>
        <v>0</v>
      </c>
      <c r="F124" s="24" t="s">
        <v>288</v>
      </c>
      <c r="G124" s="24" t="s">
        <v>288</v>
      </c>
    </row>
    <row r="125" spans="1:7" x14ac:dyDescent="0.2">
      <c r="A125" t="s">
        <v>220</v>
      </c>
      <c r="B125" s="32" t="s">
        <v>221</v>
      </c>
      <c r="C125" s="95">
        <f>('DOE25'!L209)+('DOE25'!L227)+('DOE25'!L245)</f>
        <v>6266</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529971</v>
      </c>
      <c r="E127" s="24" t="s">
        <v>288</v>
      </c>
      <c r="F127" s="24" t="s">
        <v>288</v>
      </c>
      <c r="G127" s="24" t="s">
        <v>288</v>
      </c>
    </row>
    <row r="128" spans="1:7" ht="12.75" thickTop="1" thickBot="1" x14ac:dyDescent="0.25">
      <c r="A128" s="33" t="s">
        <v>226</v>
      </c>
      <c r="C128" s="86">
        <f>SUM(C118:C127)</f>
        <v>7756519.9499999993</v>
      </c>
      <c r="D128" s="86">
        <f>SUM(D118:D127)</f>
        <v>529971</v>
      </c>
      <c r="E128" s="86">
        <f>SUM(E118:E127)</f>
        <v>225513.20999999996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206258</v>
      </c>
      <c r="D130" s="24" t="s">
        <v>288</v>
      </c>
      <c r="E130" s="129">
        <f>'DOE25'!L336</f>
        <v>0</v>
      </c>
      <c r="F130" s="129">
        <f>SUM('DOE25'!L374:'DOE25'!L380)</f>
        <v>0</v>
      </c>
      <c r="G130" s="24" t="s">
        <v>288</v>
      </c>
    </row>
    <row r="131" spans="1:7" x14ac:dyDescent="0.2">
      <c r="A131" t="s">
        <v>229</v>
      </c>
      <c r="B131" s="32">
        <v>5110</v>
      </c>
      <c r="C131" s="95">
        <f>'DOE25'!L260</f>
        <v>687252.52</v>
      </c>
      <c r="D131" s="24" t="s">
        <v>288</v>
      </c>
      <c r="E131" s="129">
        <f>'DOE25'!L341</f>
        <v>0</v>
      </c>
      <c r="F131" s="24" t="s">
        <v>288</v>
      </c>
      <c r="G131" s="24" t="s">
        <v>288</v>
      </c>
    </row>
    <row r="132" spans="1:7" x14ac:dyDescent="0.2">
      <c r="A132" t="s">
        <v>230</v>
      </c>
      <c r="B132" s="32">
        <v>5120</v>
      </c>
      <c r="C132" s="95">
        <f>'DOE25'!L261</f>
        <v>823637.58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141738</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175000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1892148.1</v>
      </c>
      <c r="D144" s="141">
        <f>SUM(D130:D143)</f>
        <v>0</v>
      </c>
      <c r="E144" s="141">
        <f>SUM(E130:E143)</f>
        <v>0</v>
      </c>
      <c r="F144" s="141">
        <f>SUM(F130:F143)</f>
        <v>0</v>
      </c>
      <c r="G144" s="141">
        <f>SUM(G130:G143)</f>
        <v>141738</v>
      </c>
    </row>
    <row r="145" spans="1:9" ht="12.75" thickTop="1" thickBot="1" x14ac:dyDescent="0.25">
      <c r="A145" s="33" t="s">
        <v>244</v>
      </c>
      <c r="C145" s="86">
        <f>(C115+C128+C144)</f>
        <v>26090186.460000001</v>
      </c>
      <c r="D145" s="86">
        <f>(D115+D128+D144)</f>
        <v>529971</v>
      </c>
      <c r="E145" s="86">
        <f>(E115+E128+E144)</f>
        <v>770394.97</v>
      </c>
      <c r="F145" s="86">
        <f>(F115+F128+F144)</f>
        <v>0</v>
      </c>
      <c r="G145" s="86">
        <f>(G115+G128+G144)</f>
        <v>141738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15</v>
      </c>
      <c r="C151" s="153">
        <f>'DOE25'!G490</f>
        <v>25</v>
      </c>
      <c r="D151" s="153">
        <f>'DOE25'!H490</f>
        <v>25</v>
      </c>
      <c r="E151" s="153">
        <f>'DOE25'!I490</f>
        <v>25</v>
      </c>
      <c r="F151" s="153">
        <f>'DOE25'!J490</f>
        <v>0</v>
      </c>
      <c r="G151" s="24" t="s">
        <v>288</v>
      </c>
    </row>
    <row r="152" spans="1:9" x14ac:dyDescent="0.2">
      <c r="A152" s="136" t="s">
        <v>28</v>
      </c>
      <c r="B152" s="152" t="str">
        <f>'DOE25'!F491</f>
        <v>5/20/13</v>
      </c>
      <c r="C152" s="152" t="str">
        <f>'DOE25'!G491</f>
        <v>6/12/14</v>
      </c>
      <c r="D152" s="152" t="str">
        <f>'DOE25'!H491</f>
        <v>7/02/15</v>
      </c>
      <c r="E152" s="152" t="str">
        <f>'DOE25'!I491</f>
        <v>1/07/16</v>
      </c>
      <c r="F152" s="152">
        <f>'DOE25'!J491</f>
        <v>0</v>
      </c>
      <c r="G152" s="24" t="s">
        <v>288</v>
      </c>
    </row>
    <row r="153" spans="1:9" x14ac:dyDescent="0.2">
      <c r="A153" s="136" t="s">
        <v>29</v>
      </c>
      <c r="B153" s="152" t="str">
        <f>'DOE25'!F492</f>
        <v>11/20/28</v>
      </c>
      <c r="C153" s="152" t="str">
        <f>'DOE25'!G492</f>
        <v>12/15/39</v>
      </c>
      <c r="D153" s="152" t="str">
        <f>'DOE25'!H492</f>
        <v>7/15/40</v>
      </c>
      <c r="E153" s="152" t="str">
        <f>'DOE25'!I492</f>
        <v>1/15/41</v>
      </c>
      <c r="F153" s="152">
        <f>'DOE25'!J492</f>
        <v>0</v>
      </c>
      <c r="G153" s="24" t="s">
        <v>288</v>
      </c>
    </row>
    <row r="154" spans="1:9" x14ac:dyDescent="0.2">
      <c r="A154" s="136" t="s">
        <v>30</v>
      </c>
      <c r="B154" s="137">
        <f>'DOE25'!F493</f>
        <v>2012334</v>
      </c>
      <c r="C154" s="137">
        <f>'DOE25'!G493</f>
        <v>4450000</v>
      </c>
      <c r="D154" s="137">
        <f>'DOE25'!H493</f>
        <v>10000000</v>
      </c>
      <c r="E154" s="137">
        <f>'DOE25'!I493</f>
        <v>7358000</v>
      </c>
      <c r="F154" s="137">
        <f>'DOE25'!J493</f>
        <v>0</v>
      </c>
      <c r="G154" s="24" t="s">
        <v>288</v>
      </c>
    </row>
    <row r="155" spans="1:9" x14ac:dyDescent="0.2">
      <c r="A155" s="136" t="s">
        <v>31</v>
      </c>
      <c r="B155" s="137">
        <f>'DOE25'!F494</f>
        <v>2.59</v>
      </c>
      <c r="C155" s="137">
        <f>'DOE25'!G494</f>
        <v>3.01</v>
      </c>
      <c r="D155" s="137">
        <f>'DOE25'!H494</f>
        <v>4.12</v>
      </c>
      <c r="E155" s="137">
        <f>'DOE25'!I494</f>
        <v>4.26</v>
      </c>
      <c r="F155" s="137">
        <f>'DOE25'!J494</f>
        <v>0</v>
      </c>
      <c r="G155" s="24" t="s">
        <v>288</v>
      </c>
    </row>
    <row r="156" spans="1:9" x14ac:dyDescent="0.2">
      <c r="A156" s="22" t="s">
        <v>32</v>
      </c>
      <c r="B156" s="137">
        <f>'DOE25'!F495</f>
        <v>1654403</v>
      </c>
      <c r="C156" s="137">
        <f>'DOE25'!G495</f>
        <v>3738835</v>
      </c>
      <c r="D156" s="137">
        <f>'DOE25'!H495</f>
        <v>9304642.8399999999</v>
      </c>
      <c r="E156" s="137">
        <f>'DOE25'!I495</f>
        <v>6943702.0800000001</v>
      </c>
      <c r="F156" s="137">
        <f>'DOE25'!J495</f>
        <v>0</v>
      </c>
      <c r="G156" s="138">
        <f>SUM(B156:F156)</f>
        <v>21641582.920000002</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109928</v>
      </c>
      <c r="C158" s="137">
        <f>'DOE25'!G497</f>
        <v>125669.3</v>
      </c>
      <c r="D158" s="137">
        <f>'DOE25'!H497</f>
        <v>264309.7</v>
      </c>
      <c r="E158" s="137">
        <f>'DOE25'!I497</f>
        <v>187315.3</v>
      </c>
      <c r="F158" s="137">
        <f>'DOE25'!J497</f>
        <v>0</v>
      </c>
      <c r="G158" s="138">
        <f t="shared" si="0"/>
        <v>687222.3</v>
      </c>
    </row>
    <row r="159" spans="1:9" x14ac:dyDescent="0.2">
      <c r="A159" s="22" t="s">
        <v>35</v>
      </c>
      <c r="B159" s="137">
        <f>'DOE25'!F498</f>
        <v>1544475.31</v>
      </c>
      <c r="C159" s="137">
        <f>'DOE25'!G498</f>
        <v>3613165</v>
      </c>
      <c r="D159" s="137">
        <f>'DOE25'!H498</f>
        <v>9040334</v>
      </c>
      <c r="E159" s="137">
        <f>'DOE25'!I498</f>
        <v>6756386</v>
      </c>
      <c r="F159" s="137">
        <f>'DOE25'!J498</f>
        <v>0</v>
      </c>
      <c r="G159" s="138">
        <f t="shared" si="0"/>
        <v>20954360.310000002</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1544475.31</v>
      </c>
      <c r="C161" s="137">
        <f>'DOE25'!G500</f>
        <v>3613165</v>
      </c>
      <c r="D161" s="137">
        <f>'DOE25'!H500</f>
        <v>9040334</v>
      </c>
      <c r="E161" s="137">
        <f>'DOE25'!I500</f>
        <v>6756386</v>
      </c>
      <c r="F161" s="137">
        <f>'DOE25'!J500</f>
        <v>0</v>
      </c>
      <c r="G161" s="138">
        <f t="shared" si="0"/>
        <v>20954360.310000002</v>
      </c>
    </row>
    <row r="162" spans="1:7" x14ac:dyDescent="0.2">
      <c r="A162" s="22" t="s">
        <v>38</v>
      </c>
      <c r="B162" s="137">
        <f>'DOE25'!F501</f>
        <v>120439</v>
      </c>
      <c r="C162" s="137">
        <f>'DOE25'!G501</f>
        <v>129186</v>
      </c>
      <c r="D162" s="137">
        <f>'DOE25'!H501</f>
        <v>274231</v>
      </c>
      <c r="E162" s="137">
        <f>'DOE25'!I501</f>
        <v>194441</v>
      </c>
      <c r="F162" s="137">
        <f>'DOE25'!J501</f>
        <v>0</v>
      </c>
      <c r="G162" s="138">
        <f t="shared" si="0"/>
        <v>718297</v>
      </c>
    </row>
    <row r="163" spans="1:7" x14ac:dyDescent="0.2">
      <c r="A163" s="22" t="s">
        <v>39</v>
      </c>
      <c r="B163" s="137">
        <f>'DOE25'!F502</f>
        <v>39594</v>
      </c>
      <c r="C163" s="137">
        <f>'DOE25'!G502</f>
        <v>107284</v>
      </c>
      <c r="D163" s="137">
        <f>'DOE25'!H502</f>
        <v>368355</v>
      </c>
      <c r="E163" s="137">
        <f>'DOE25'!I502</f>
        <v>284849</v>
      </c>
      <c r="F163" s="137">
        <f>'DOE25'!J502</f>
        <v>0</v>
      </c>
      <c r="G163" s="138">
        <f t="shared" si="0"/>
        <v>800082</v>
      </c>
    </row>
    <row r="164" spans="1:7" x14ac:dyDescent="0.2">
      <c r="A164" s="22" t="s">
        <v>246</v>
      </c>
      <c r="B164" s="137">
        <f>'DOE25'!F503</f>
        <v>160033</v>
      </c>
      <c r="C164" s="137">
        <f>'DOE25'!G503</f>
        <v>236470</v>
      </c>
      <c r="D164" s="137">
        <f>'DOE25'!H503</f>
        <v>642586</v>
      </c>
      <c r="E164" s="137">
        <f>'DOE25'!I503</f>
        <v>479290</v>
      </c>
      <c r="F164" s="137">
        <f>'DOE25'!J503</f>
        <v>0</v>
      </c>
      <c r="G164" s="138">
        <f t="shared" si="0"/>
        <v>1518379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Mascoma Valley Regional School District</v>
      </c>
    </row>
    <row r="3" spans="1:4" x14ac:dyDescent="0.2">
      <c r="B3" s="188" t="s">
        <v>1602</v>
      </c>
    </row>
    <row r="4" spans="1:4" x14ac:dyDescent="0.2">
      <c r="B4" t="s">
        <v>61</v>
      </c>
      <c r="C4" s="179">
        <f>IF('DOE25'!F665+'DOE25'!F670=0,0,ROUND('DOE25'!F672,0))</f>
        <v>19933</v>
      </c>
    </row>
    <row r="5" spans="1:4" x14ac:dyDescent="0.2">
      <c r="B5" t="s">
        <v>700</v>
      </c>
      <c r="C5" s="179">
        <f>IF('DOE25'!G665+'DOE25'!G670=0,0,ROUND('DOE25'!G672,0))</f>
        <v>0</v>
      </c>
    </row>
    <row r="6" spans="1:4" x14ac:dyDescent="0.2">
      <c r="B6" t="s">
        <v>62</v>
      </c>
      <c r="C6" s="179">
        <f>IF('DOE25'!H665+'DOE25'!H670=0,0,ROUND('DOE25'!H672,0))</f>
        <v>22245</v>
      </c>
    </row>
    <row r="7" spans="1:4" x14ac:dyDescent="0.2">
      <c r="B7" t="s">
        <v>701</v>
      </c>
      <c r="C7" s="179">
        <f>IF('DOE25'!I665+'DOE25'!I670=0,0,ROUND('DOE25'!I672,0))</f>
        <v>20585</v>
      </c>
    </row>
    <row r="9" spans="1:4" x14ac:dyDescent="0.2">
      <c r="A9" s="187" t="s">
        <v>94</v>
      </c>
      <c r="B9" s="188" t="s">
        <v>1603</v>
      </c>
      <c r="C9" s="181" t="s">
        <v>720</v>
      </c>
      <c r="D9" s="181" t="s">
        <v>721</v>
      </c>
    </row>
    <row r="10" spans="1:4" x14ac:dyDescent="0.2">
      <c r="A10">
        <v>1100</v>
      </c>
      <c r="B10" t="s">
        <v>702</v>
      </c>
      <c r="C10" s="179">
        <f>ROUND('DOE25'!L197+'DOE25'!L215+'DOE25'!L233+'DOE25'!L276+'DOE25'!L295+'DOE25'!L314,0)</f>
        <v>9750798</v>
      </c>
      <c r="D10" s="182">
        <f>ROUND((C10/$C$28)*100,1)</f>
        <v>37.4</v>
      </c>
    </row>
    <row r="11" spans="1:4" x14ac:dyDescent="0.2">
      <c r="A11">
        <v>1200</v>
      </c>
      <c r="B11" t="s">
        <v>703</v>
      </c>
      <c r="C11" s="179">
        <f>ROUND('DOE25'!L198+'DOE25'!L216+'DOE25'!L234+'DOE25'!L277+'DOE25'!L296+'DOE25'!L315,0)</f>
        <v>6623099</v>
      </c>
      <c r="D11" s="182">
        <f>ROUND((C11/$C$28)*100,1)</f>
        <v>25.4</v>
      </c>
    </row>
    <row r="12" spans="1:4" x14ac:dyDescent="0.2">
      <c r="A12">
        <v>1300</v>
      </c>
      <c r="B12" t="s">
        <v>704</v>
      </c>
      <c r="C12" s="179">
        <f>ROUND('DOE25'!L199+'DOE25'!L217+'DOE25'!L235+'DOE25'!L278+'DOE25'!L297+'DOE25'!L316,0)</f>
        <v>362010</v>
      </c>
      <c r="D12" s="182">
        <f>ROUND((C12/$C$28)*100,1)</f>
        <v>1.4</v>
      </c>
    </row>
    <row r="13" spans="1:4" x14ac:dyDescent="0.2">
      <c r="A13">
        <v>1400</v>
      </c>
      <c r="B13" t="s">
        <v>705</v>
      </c>
      <c r="C13" s="179">
        <f>ROUND('DOE25'!L200+'DOE25'!L218+'DOE25'!L236+'DOE25'!L279+'DOE25'!L298+'DOE25'!L317,0)</f>
        <v>250493</v>
      </c>
      <c r="D13" s="182">
        <f>ROUND((C13/$C$28)*100,1)</f>
        <v>1</v>
      </c>
    </row>
    <row r="14" spans="1:4" x14ac:dyDescent="0.2">
      <c r="D14" s="182"/>
    </row>
    <row r="15" spans="1:4" x14ac:dyDescent="0.2">
      <c r="A15">
        <v>2100</v>
      </c>
      <c r="B15" t="s">
        <v>706</v>
      </c>
      <c r="C15" s="179">
        <f>ROUND('DOE25'!L202+'DOE25'!L220+'DOE25'!L238+'DOE25'!L281+'DOE25'!L300+'DOE25'!L319,0)</f>
        <v>1552765</v>
      </c>
      <c r="D15" s="182">
        <f t="shared" ref="D15:D27" si="0">ROUND((C15/$C$28)*100,1)</f>
        <v>6</v>
      </c>
    </row>
    <row r="16" spans="1:4" x14ac:dyDescent="0.2">
      <c r="A16">
        <v>2200</v>
      </c>
      <c r="B16" t="s">
        <v>707</v>
      </c>
      <c r="C16" s="179">
        <f>ROUND('DOE25'!L203+'DOE25'!L221+'DOE25'!L239+'DOE25'!L282+'DOE25'!L301+'DOE25'!L320,0)</f>
        <v>577777</v>
      </c>
      <c r="D16" s="182">
        <f t="shared" si="0"/>
        <v>2.2000000000000002</v>
      </c>
    </row>
    <row r="17" spans="1:4" x14ac:dyDescent="0.2">
      <c r="A17" s="183" t="s">
        <v>723</v>
      </c>
      <c r="B17" t="s">
        <v>738</v>
      </c>
      <c r="C17" s="179">
        <f>ROUND('DOE25'!L204+'DOE25'!L209+'DOE25'!L222+'DOE25'!L227+'DOE25'!L240+'DOE25'!L245+'DOE25'!L283+'DOE25'!L288+'DOE25'!L302+'DOE25'!L307+'DOE25'!L321+'DOE25'!L326,0)</f>
        <v>1471875</v>
      </c>
      <c r="D17" s="182">
        <f t="shared" si="0"/>
        <v>5.6</v>
      </c>
    </row>
    <row r="18" spans="1:4" x14ac:dyDescent="0.2">
      <c r="A18">
        <v>2400</v>
      </c>
      <c r="B18" t="s">
        <v>711</v>
      </c>
      <c r="C18" s="179">
        <f>ROUND('DOE25'!L205+'DOE25'!L223+'DOE25'!L241+'DOE25'!L284+'DOE25'!L303+'DOE25'!L322,0)</f>
        <v>1426156</v>
      </c>
      <c r="D18" s="182">
        <f t="shared" si="0"/>
        <v>5.5</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1794246</v>
      </c>
      <c r="D20" s="182">
        <f t="shared" si="0"/>
        <v>6.9</v>
      </c>
    </row>
    <row r="21" spans="1:4" x14ac:dyDescent="0.2">
      <c r="A21">
        <v>2700</v>
      </c>
      <c r="B21" t="s">
        <v>710</v>
      </c>
      <c r="C21" s="179">
        <f>ROUND('DOE25'!L208+'DOE25'!L226+'DOE25'!L244+'DOE25'!L287+'DOE25'!L306+'DOE25'!L325,0)</f>
        <v>1159214</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823638</v>
      </c>
      <c r="D25" s="182">
        <f t="shared" si="0"/>
        <v>3.2</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301809.73</v>
      </c>
      <c r="D27" s="182">
        <f t="shared" si="0"/>
        <v>1.2</v>
      </c>
    </row>
    <row r="28" spans="1:4" x14ac:dyDescent="0.2">
      <c r="B28" s="187" t="s">
        <v>719</v>
      </c>
      <c r="C28" s="180">
        <f>SUM(C10:C27)</f>
        <v>26093880.73</v>
      </c>
      <c r="D28" s="184">
        <f>ROUND(SUM(D10:D27),0)</f>
        <v>100</v>
      </c>
    </row>
    <row r="29" spans="1:4" x14ac:dyDescent="0.2">
      <c r="A29">
        <v>4000</v>
      </c>
      <c r="B29" t="s">
        <v>724</v>
      </c>
      <c r="C29" s="179">
        <f>ROUND('DOE25'!L255+'DOE25'!L336+'DOE25'!L374+'DOE25'!L375+'DOE25'!L376+'DOE25'!L377+'DOE25'!L378+'DOE25'!L379+'DOE25'!L380,0)</f>
        <v>206258</v>
      </c>
    </row>
    <row r="30" spans="1:4" x14ac:dyDescent="0.2">
      <c r="B30" s="187" t="s">
        <v>725</v>
      </c>
      <c r="C30" s="180">
        <f>SUM(C28:C29)</f>
        <v>26300138.73</v>
      </c>
    </row>
    <row r="31" spans="1:4" x14ac:dyDescent="0.2">
      <c r="B31" s="33"/>
      <c r="C31" s="180"/>
    </row>
    <row r="32" spans="1:4" x14ac:dyDescent="0.2">
      <c r="A32">
        <v>5100</v>
      </c>
      <c r="B32" s="33" t="s">
        <v>726</v>
      </c>
      <c r="C32" s="180">
        <f>ROUND('DOE25'!L260+'DOE25'!L341,0)</f>
        <v>687253</v>
      </c>
    </row>
    <row r="34" spans="1:4" x14ac:dyDescent="0.2">
      <c r="A34" s="187" t="s">
        <v>94</v>
      </c>
      <c r="B34" s="188" t="s">
        <v>1604</v>
      </c>
      <c r="C34" s="181" t="s">
        <v>720</v>
      </c>
      <c r="D34" s="181" t="s">
        <v>721</v>
      </c>
    </row>
    <row r="35" spans="1:4" x14ac:dyDescent="0.2">
      <c r="A35">
        <v>1100</v>
      </c>
      <c r="B35" s="185" t="s">
        <v>727</v>
      </c>
      <c r="C35" s="179">
        <f>ROUND('DOE25'!F60+'DOE25'!G60+'DOE25'!H60+'DOE25'!I60+'DOE25'!J60,0)</f>
        <v>18295349</v>
      </c>
      <c r="D35" s="182">
        <f t="shared" ref="D35:D40" si="1">ROUND((C35/$C$41)*100,1)</f>
        <v>69</v>
      </c>
    </row>
    <row r="36" spans="1:4" x14ac:dyDescent="0.2">
      <c r="B36" s="185" t="s">
        <v>739</v>
      </c>
      <c r="C36" s="179">
        <f>SUM('DOE25'!F112:J112)-SUM('DOE25'!G97:G110)+('DOE25'!F174+'DOE25'!F175+'DOE25'!I174+'DOE25'!I175)-C35</f>
        <v>245767.78999999911</v>
      </c>
      <c r="D36" s="182">
        <f t="shared" si="1"/>
        <v>0.9</v>
      </c>
    </row>
    <row r="37" spans="1:4" x14ac:dyDescent="0.2">
      <c r="A37" s="183" t="s">
        <v>835</v>
      </c>
      <c r="B37" s="185" t="s">
        <v>728</v>
      </c>
      <c r="C37" s="179">
        <f>ROUND('DOE25'!F117+'DOE25'!F118,0)</f>
        <v>6484950</v>
      </c>
      <c r="D37" s="182">
        <f t="shared" si="1"/>
        <v>24.5</v>
      </c>
    </row>
    <row r="38" spans="1:4" x14ac:dyDescent="0.2">
      <c r="A38" s="183" t="s">
        <v>734</v>
      </c>
      <c r="B38" s="185" t="s">
        <v>729</v>
      </c>
      <c r="C38" s="179">
        <f>ROUND(SUM('DOE25'!F140:J140)-SUM('DOE25'!F117:F119),0)</f>
        <v>382024</v>
      </c>
      <c r="D38" s="182">
        <f t="shared" si="1"/>
        <v>1.4</v>
      </c>
    </row>
    <row r="39" spans="1:4" x14ac:dyDescent="0.2">
      <c r="A39">
        <v>4000</v>
      </c>
      <c r="B39" s="185" t="s">
        <v>730</v>
      </c>
      <c r="C39" s="179">
        <f>ROUND('DOE25'!F169+'DOE25'!G169+'DOE25'!H169+'DOE25'!I169,0)</f>
        <v>1095318</v>
      </c>
      <c r="D39" s="182">
        <f t="shared" si="1"/>
        <v>4.0999999999999996</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26503408.789999999</v>
      </c>
      <c r="D41" s="184">
        <f>SUM(D35:D40)</f>
        <v>99.9</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Mascoma Valley Regional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t="s">
        <v>1620</v>
      </c>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2019-08-15T18:55:04Z</cp:lastPrinted>
  <dcterms:created xsi:type="dcterms:W3CDTF">1997-12-04T19:04:30Z</dcterms:created>
  <dcterms:modified xsi:type="dcterms:W3CDTF">2019-11-22T16:00:31Z</dcterms:modified>
</cp:coreProperties>
</file>