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2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01" i="1" l="1"/>
  <c r="D8" i="14" l="1"/>
  <c r="D7" i="14"/>
  <c r="D6" i="14"/>
  <c r="D5" i="14"/>
  <c r="D37" i="14" l="1"/>
  <c r="D25" i="14"/>
  <c r="F14" i="13" l="1"/>
  <c r="F15" i="13"/>
  <c r="C37" i="12"/>
  <c r="B37" i="12"/>
  <c r="C19" i="12"/>
  <c r="B19" i="12"/>
  <c r="C10" i="12"/>
  <c r="B10" i="12"/>
  <c r="H611" i="1" l="1"/>
  <c r="H495" i="1" l="1"/>
  <c r="G495" i="1"/>
  <c r="F495" i="1"/>
  <c r="J604" i="1" l="1"/>
  <c r="I604" i="1"/>
  <c r="H604" i="1"/>
  <c r="I591" i="1"/>
  <c r="J591" i="1"/>
  <c r="H591" i="1"/>
  <c r="F465" i="1"/>
  <c r="F472" i="1"/>
  <c r="J468" i="1" l="1"/>
  <c r="K344" i="1" l="1"/>
  <c r="I321" i="1"/>
  <c r="I302" i="1"/>
  <c r="G302" i="1"/>
  <c r="F302" i="1"/>
  <c r="I282" i="1"/>
  <c r="I320" i="1"/>
  <c r="I301" i="1"/>
  <c r="J301" i="1"/>
  <c r="H301" i="1"/>
  <c r="G301" i="1"/>
  <c r="F301" i="1"/>
  <c r="I281" i="1"/>
  <c r="H281" i="1"/>
  <c r="F281" i="1"/>
  <c r="F276" i="1"/>
  <c r="H300" i="1"/>
  <c r="G319" i="1"/>
  <c r="H317" i="1"/>
  <c r="I276" i="1"/>
  <c r="H159" i="1"/>
  <c r="H154" i="1"/>
  <c r="H155" i="1"/>
  <c r="F102" i="1" l="1"/>
  <c r="F12" i="1" l="1"/>
  <c r="F9" i="1" l="1"/>
  <c r="K205"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L224" i="1"/>
  <c r="L242" i="1"/>
  <c r="G16" i="13"/>
  <c r="H16" i="13"/>
  <c r="L209" i="1"/>
  <c r="L227" i="1"/>
  <c r="L245" i="1"/>
  <c r="G5" i="13"/>
  <c r="H5" i="13"/>
  <c r="L197" i="1"/>
  <c r="L198" i="1"/>
  <c r="L199" i="1"/>
  <c r="L200" i="1"/>
  <c r="L215" i="1"/>
  <c r="L216" i="1"/>
  <c r="L217" i="1"/>
  <c r="L218" i="1"/>
  <c r="L233" i="1"/>
  <c r="L234" i="1"/>
  <c r="L235" i="1"/>
  <c r="C12" i="10" s="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93" i="1" s="1"/>
  <c r="C138" i="2" s="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H79" i="1"/>
  <c r="E57" i="2"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L250" i="1"/>
  <c r="C113" i="2" s="1"/>
  <c r="L332" i="1"/>
  <c r="E113" i="2" s="1"/>
  <c r="L254" i="1"/>
  <c r="L268" i="1"/>
  <c r="L269" i="1"/>
  <c r="L349" i="1"/>
  <c r="L350" i="1"/>
  <c r="I665" i="1"/>
  <c r="I670" i="1"/>
  <c r="I669" i="1"/>
  <c r="C42" i="10"/>
  <c r="C32" i="10"/>
  <c r="L374" i="1"/>
  <c r="L375" i="1"/>
  <c r="L376" i="1"/>
  <c r="L377" i="1"/>
  <c r="L378" i="1"/>
  <c r="L379" i="1"/>
  <c r="L380" i="1"/>
  <c r="B2" i="10"/>
  <c r="L344" i="1"/>
  <c r="L345" i="1"/>
  <c r="L346" i="1"/>
  <c r="L347" i="1"/>
  <c r="K351" i="1"/>
  <c r="L521" i="1"/>
  <c r="F549" i="1" s="1"/>
  <c r="L522" i="1"/>
  <c r="F550" i="1" s="1"/>
  <c r="L523" i="1"/>
  <c r="F551" i="1" s="1"/>
  <c r="L526" i="1"/>
  <c r="G549" i="1" s="1"/>
  <c r="L527" i="1"/>
  <c r="G550" i="1" s="1"/>
  <c r="L528" i="1"/>
  <c r="G551" i="1" s="1"/>
  <c r="L531" i="1"/>
  <c r="H549" i="1" s="1"/>
  <c r="L532" i="1"/>
  <c r="H550" i="1" s="1"/>
  <c r="L533" i="1"/>
  <c r="H551" i="1" s="1"/>
  <c r="H552" i="1" s="1"/>
  <c r="L536" i="1"/>
  <c r="I549" i="1" s="1"/>
  <c r="L537" i="1"/>
  <c r="I550"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D18" i="2" s="1"/>
  <c r="E9" i="2"/>
  <c r="F9" i="2"/>
  <c r="I440" i="1"/>
  <c r="J10" i="1" s="1"/>
  <c r="G9" i="2" s="1"/>
  <c r="C10" i="2"/>
  <c r="C18" i="2" s="1"/>
  <c r="C11" i="2"/>
  <c r="D11" i="2"/>
  <c r="E11" i="2"/>
  <c r="F11" i="2"/>
  <c r="F18" i="2" s="1"/>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8" i="2"/>
  <c r="C91" i="2" s="1"/>
  <c r="D88" i="2"/>
  <c r="D91" i="2" s="1"/>
  <c r="E88" i="2"/>
  <c r="F88" i="2"/>
  <c r="C89" i="2"/>
  <c r="D89" i="2"/>
  <c r="E89" i="2"/>
  <c r="F89" i="2"/>
  <c r="C90" i="2"/>
  <c r="C93" i="2"/>
  <c r="F93" i="2"/>
  <c r="C94" i="2"/>
  <c r="F94" i="2"/>
  <c r="D96" i="2"/>
  <c r="E96" i="2"/>
  <c r="F96" i="2"/>
  <c r="G96" i="2"/>
  <c r="C97" i="2"/>
  <c r="D97" i="2"/>
  <c r="E97" i="2"/>
  <c r="F97" i="2"/>
  <c r="G97" i="2"/>
  <c r="C98" i="2"/>
  <c r="D98" i="2"/>
  <c r="E98" i="2"/>
  <c r="E103" i="2" s="1"/>
  <c r="G98" i="2"/>
  <c r="C99" i="2"/>
  <c r="D99" i="2"/>
  <c r="E99" i="2"/>
  <c r="F99" i="2"/>
  <c r="C100" i="2"/>
  <c r="D100" i="2"/>
  <c r="E100" i="2"/>
  <c r="F100" i="2"/>
  <c r="C101" i="2"/>
  <c r="D101" i="2"/>
  <c r="E101" i="2"/>
  <c r="F101" i="2"/>
  <c r="C102" i="2"/>
  <c r="D102" i="2"/>
  <c r="E102" i="2"/>
  <c r="F102" i="2"/>
  <c r="E110" i="2"/>
  <c r="E111" i="2"/>
  <c r="E112" i="2"/>
  <c r="D115" i="2"/>
  <c r="F115" i="2"/>
  <c r="G115" i="2"/>
  <c r="C119" i="2"/>
  <c r="E119" i="2"/>
  <c r="E120" i="2"/>
  <c r="E121" i="2"/>
  <c r="E123" i="2"/>
  <c r="E124" i="2"/>
  <c r="C125" i="2"/>
  <c r="E125"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I19" i="1"/>
  <c r="G620" i="1" s="1"/>
  <c r="F32" i="1"/>
  <c r="F52" i="1" s="1"/>
  <c r="H617" i="1" s="1"/>
  <c r="G32" i="1"/>
  <c r="G52" i="1" s="1"/>
  <c r="H618" i="1" s="1"/>
  <c r="H32" i="1"/>
  <c r="I32" i="1"/>
  <c r="H51" i="1"/>
  <c r="I51" i="1"/>
  <c r="F177" i="1"/>
  <c r="F192" i="1" s="1"/>
  <c r="I177" i="1"/>
  <c r="F183" i="1"/>
  <c r="G183" i="1"/>
  <c r="H183" i="1"/>
  <c r="H192" i="1" s="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G338" i="1" s="1"/>
  <c r="G352" i="1" s="1"/>
  <c r="H309" i="1"/>
  <c r="I309" i="1"/>
  <c r="F328" i="1"/>
  <c r="G328" i="1"/>
  <c r="H328" i="1"/>
  <c r="I328" i="1"/>
  <c r="F337" i="1"/>
  <c r="G337" i="1"/>
  <c r="H337" i="1"/>
  <c r="I337" i="1"/>
  <c r="J337" i="1"/>
  <c r="K337" i="1"/>
  <c r="K338" i="1" s="1"/>
  <c r="K352" i="1" s="1"/>
  <c r="F362" i="1"/>
  <c r="G362" i="1"/>
  <c r="H362" i="1"/>
  <c r="I362" i="1"/>
  <c r="G634" i="1" s="1"/>
  <c r="J362" i="1"/>
  <c r="K362" i="1"/>
  <c r="I368" i="1"/>
  <c r="I369" i="1" s="1"/>
  <c r="H634" i="1" s="1"/>
  <c r="F369" i="1"/>
  <c r="G369" i="1"/>
  <c r="H369" i="1"/>
  <c r="L381" i="1"/>
  <c r="F382" i="1"/>
  <c r="G382" i="1"/>
  <c r="H382" i="1"/>
  <c r="I382" i="1"/>
  <c r="J382" i="1"/>
  <c r="K382" i="1"/>
  <c r="F393" i="1"/>
  <c r="G393" i="1"/>
  <c r="H393" i="1"/>
  <c r="I393" i="1"/>
  <c r="F401" i="1"/>
  <c r="G401" i="1"/>
  <c r="H401" i="1"/>
  <c r="H408" i="1" s="1"/>
  <c r="H644" i="1" s="1"/>
  <c r="I401" i="1"/>
  <c r="I408" i="1" s="1"/>
  <c r="F407" i="1"/>
  <c r="G407" i="1"/>
  <c r="H407" i="1"/>
  <c r="I407" i="1"/>
  <c r="F408" i="1"/>
  <c r="G408" i="1"/>
  <c r="L413" i="1"/>
  <c r="L414" i="1"/>
  <c r="L419" i="1" s="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G641" i="1" s="1"/>
  <c r="J641" i="1" s="1"/>
  <c r="F452" i="1"/>
  <c r="F461" i="1" s="1"/>
  <c r="H639" i="1" s="1"/>
  <c r="G452" i="1"/>
  <c r="H452" i="1"/>
  <c r="F460" i="1"/>
  <c r="G460" i="1"/>
  <c r="H460" i="1"/>
  <c r="H461" i="1" s="1"/>
  <c r="H641" i="1" s="1"/>
  <c r="G461" i="1"/>
  <c r="F470" i="1"/>
  <c r="G470" i="1"/>
  <c r="H470" i="1"/>
  <c r="I470" i="1"/>
  <c r="J470" i="1"/>
  <c r="J476" i="1" s="1"/>
  <c r="H626" i="1" s="1"/>
  <c r="F474" i="1"/>
  <c r="G474" i="1"/>
  <c r="G476" i="1" s="1"/>
  <c r="H623" i="1" s="1"/>
  <c r="J623" i="1" s="1"/>
  <c r="H474" i="1"/>
  <c r="I474" i="1"/>
  <c r="I476" i="1" s="1"/>
  <c r="H625" i="1" s="1"/>
  <c r="J625" i="1" s="1"/>
  <c r="J474" i="1"/>
  <c r="K495" i="1"/>
  <c r="K496" i="1"/>
  <c r="K497" i="1"/>
  <c r="K498" i="1"/>
  <c r="K499" i="1"/>
  <c r="K501" i="1"/>
  <c r="K502" i="1"/>
  <c r="F517" i="1"/>
  <c r="G517" i="1"/>
  <c r="H517" i="1"/>
  <c r="I517" i="1"/>
  <c r="F524" i="1"/>
  <c r="G524" i="1"/>
  <c r="H524" i="1"/>
  <c r="I524" i="1"/>
  <c r="J524" i="1"/>
  <c r="K524" i="1"/>
  <c r="K545" i="1" s="1"/>
  <c r="F529" i="1"/>
  <c r="G529" i="1"/>
  <c r="H529" i="1"/>
  <c r="I529" i="1"/>
  <c r="I545" i="1" s="1"/>
  <c r="J529" i="1"/>
  <c r="K529" i="1"/>
  <c r="F534" i="1"/>
  <c r="G534" i="1"/>
  <c r="H534" i="1"/>
  <c r="I534" i="1"/>
  <c r="J534" i="1"/>
  <c r="K534" i="1"/>
  <c r="F539" i="1"/>
  <c r="G539" i="1"/>
  <c r="H539" i="1"/>
  <c r="I539" i="1"/>
  <c r="J539" i="1"/>
  <c r="K539" i="1"/>
  <c r="F544" i="1"/>
  <c r="G544" i="1"/>
  <c r="H544" i="1"/>
  <c r="I544" i="1"/>
  <c r="J544" i="1"/>
  <c r="K544" i="1"/>
  <c r="L557" i="1"/>
  <c r="L560" i="1" s="1"/>
  <c r="L558" i="1"/>
  <c r="L559" i="1"/>
  <c r="F560" i="1"/>
  <c r="G560" i="1"/>
  <c r="H560" i="1"/>
  <c r="I560" i="1"/>
  <c r="I571" i="1" s="1"/>
  <c r="J560" i="1"/>
  <c r="K560" i="1"/>
  <c r="L562" i="1"/>
  <c r="L563" i="1"/>
  <c r="L565" i="1" s="1"/>
  <c r="L564" i="1"/>
  <c r="F565" i="1"/>
  <c r="G565" i="1"/>
  <c r="H565" i="1"/>
  <c r="I565" i="1"/>
  <c r="J565" i="1"/>
  <c r="K565" i="1"/>
  <c r="L567" i="1"/>
  <c r="L568" i="1"/>
  <c r="L569" i="1"/>
  <c r="F570" i="1"/>
  <c r="F571" i="1" s="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9" i="1"/>
  <c r="G622" i="1"/>
  <c r="G623" i="1"/>
  <c r="G624" i="1"/>
  <c r="G625" i="1"/>
  <c r="H627" i="1"/>
  <c r="H628" i="1"/>
  <c r="H629" i="1"/>
  <c r="H630" i="1"/>
  <c r="H631" i="1"/>
  <c r="H632" i="1"/>
  <c r="H633" i="1"/>
  <c r="H635" i="1"/>
  <c r="H636" i="1"/>
  <c r="H637" i="1"/>
  <c r="H638" i="1"/>
  <c r="G640" i="1"/>
  <c r="H640" i="1"/>
  <c r="G643" i="1"/>
  <c r="H643" i="1"/>
  <c r="J643" i="1" s="1"/>
  <c r="G644" i="1"/>
  <c r="H645" i="1"/>
  <c r="G650" i="1"/>
  <c r="G652" i="1"/>
  <c r="H652" i="1"/>
  <c r="G653" i="1"/>
  <c r="H653" i="1"/>
  <c r="G654" i="1"/>
  <c r="H654" i="1"/>
  <c r="H655" i="1"/>
  <c r="D31" i="2"/>
  <c r="G62" i="2"/>
  <c r="E78" i="2"/>
  <c r="J571" i="1"/>
  <c r="D81" i="2"/>
  <c r="I169" i="1"/>
  <c r="J140" i="1"/>
  <c r="H140" i="1"/>
  <c r="J655" i="1"/>
  <c r="L614" i="1" l="1"/>
  <c r="H571" i="1"/>
  <c r="L570" i="1"/>
  <c r="L401" i="1"/>
  <c r="C139" i="2" s="1"/>
  <c r="G552" i="1"/>
  <c r="G545" i="1"/>
  <c r="I552" i="1"/>
  <c r="K605" i="1"/>
  <c r="G648" i="1" s="1"/>
  <c r="K598" i="1"/>
  <c r="G647" i="1" s="1"/>
  <c r="H476" i="1"/>
  <c r="H624" i="1" s="1"/>
  <c r="J624" i="1" s="1"/>
  <c r="L270" i="1"/>
  <c r="F476" i="1"/>
  <c r="H622" i="1" s="1"/>
  <c r="J622" i="1" s="1"/>
  <c r="C13" i="10"/>
  <c r="F338" i="1"/>
  <c r="F352" i="1" s="1"/>
  <c r="E62" i="2"/>
  <c r="E63" i="2" s="1"/>
  <c r="H52" i="1"/>
  <c r="H619" i="1" s="1"/>
  <c r="J619" i="1" s="1"/>
  <c r="L328" i="1"/>
  <c r="L309" i="1"/>
  <c r="E122" i="2"/>
  <c r="E118" i="2"/>
  <c r="E128" i="2" s="1"/>
  <c r="L290" i="1"/>
  <c r="H112" i="1"/>
  <c r="G645" i="1"/>
  <c r="J645" i="1" s="1"/>
  <c r="J640" i="1"/>
  <c r="L529" i="1"/>
  <c r="H545" i="1"/>
  <c r="L256" i="1"/>
  <c r="I52" i="1"/>
  <c r="H620" i="1" s="1"/>
  <c r="J620" i="1" s="1"/>
  <c r="G81" i="2"/>
  <c r="C78" i="2"/>
  <c r="F78" i="2"/>
  <c r="F81" i="2" s="1"/>
  <c r="C70" i="2"/>
  <c r="D62" i="2"/>
  <c r="D63" i="2" s="1"/>
  <c r="G112" i="1"/>
  <c r="J545" i="1"/>
  <c r="C114" i="2"/>
  <c r="J552" i="1"/>
  <c r="K549" i="1"/>
  <c r="F552" i="1"/>
  <c r="L351" i="1"/>
  <c r="F130" i="2"/>
  <c r="F144" i="2" s="1"/>
  <c r="F145" i="2" s="1"/>
  <c r="C26" i="10"/>
  <c r="A40" i="12"/>
  <c r="F661" i="1"/>
  <c r="C18" i="10"/>
  <c r="F112" i="1"/>
  <c r="L433" i="1"/>
  <c r="L434" i="1" s="1"/>
  <c r="G638" i="1" s="1"/>
  <c r="J638" i="1" s="1"/>
  <c r="L427" i="1"/>
  <c r="J644" i="1"/>
  <c r="G164" i="2"/>
  <c r="G161" i="2"/>
  <c r="G157" i="2"/>
  <c r="G156" i="2"/>
  <c r="E31" i="2"/>
  <c r="G662" i="1"/>
  <c r="H647" i="1"/>
  <c r="C11" i="10"/>
  <c r="J257" i="1"/>
  <c r="H662" i="1"/>
  <c r="D15" i="13"/>
  <c r="C15" i="13" s="1"/>
  <c r="G651" i="1"/>
  <c r="J651" i="1" s="1"/>
  <c r="C112" i="2"/>
  <c r="L247" i="1"/>
  <c r="C110" i="2"/>
  <c r="K257" i="1"/>
  <c r="K271" i="1" s="1"/>
  <c r="H257" i="1"/>
  <c r="H271" i="1" s="1"/>
  <c r="J634" i="1"/>
  <c r="L362" i="1"/>
  <c r="G661" i="1"/>
  <c r="C20" i="10"/>
  <c r="E13" i="13"/>
  <c r="C13" i="13" s="1"/>
  <c r="C121" i="2"/>
  <c r="D6" i="13"/>
  <c r="C6" i="13" s="1"/>
  <c r="F257" i="1"/>
  <c r="F271" i="1" s="1"/>
  <c r="L211" i="1"/>
  <c r="I257" i="1"/>
  <c r="I271" i="1" s="1"/>
  <c r="J617" i="1"/>
  <c r="J639" i="1"/>
  <c r="K551" i="1"/>
  <c r="I25" i="13"/>
  <c r="K550" i="1"/>
  <c r="J271" i="1"/>
  <c r="L534" i="1"/>
  <c r="K500" i="1"/>
  <c r="I460" i="1"/>
  <c r="I452" i="1"/>
  <c r="I446" i="1"/>
  <c r="G642" i="1" s="1"/>
  <c r="H338" i="1"/>
  <c r="H352" i="1" s="1"/>
  <c r="C123" i="2"/>
  <c r="E109" i="2"/>
  <c r="E115" i="2" s="1"/>
  <c r="C56" i="2"/>
  <c r="F662" i="1"/>
  <c r="C25" i="10"/>
  <c r="C21" i="10"/>
  <c r="C17" i="10"/>
  <c r="D19" i="13"/>
  <c r="C19" i="13" s="1"/>
  <c r="D14" i="13"/>
  <c r="C14" i="13" s="1"/>
  <c r="C62" i="2"/>
  <c r="C63" i="2" s="1"/>
  <c r="G22" i="13"/>
  <c r="C22" i="13" s="1"/>
  <c r="L539" i="1"/>
  <c r="K503" i="1"/>
  <c r="L382" i="1"/>
  <c r="G636" i="1" s="1"/>
  <c r="J636" i="1" s="1"/>
  <c r="G257" i="1"/>
  <c r="G271" i="1" s="1"/>
  <c r="C142" i="2"/>
  <c r="C111" i="2"/>
  <c r="H661" i="1"/>
  <c r="C15" i="10"/>
  <c r="A13" i="12"/>
  <c r="D29" i="13"/>
  <c r="C29" i="13" s="1"/>
  <c r="D12" i="13"/>
  <c r="C12" i="13" s="1"/>
  <c r="D5" i="13"/>
  <c r="C5" i="13" s="1"/>
  <c r="E8" i="13"/>
  <c r="C8" i="13" s="1"/>
  <c r="C35" i="10"/>
  <c r="C36" i="10" s="1"/>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L337" i="1"/>
  <c r="F62" i="2"/>
  <c r="F63" i="2" s="1"/>
  <c r="C23" i="10"/>
  <c r="G163" i="2"/>
  <c r="G162" i="2"/>
  <c r="G160" i="2"/>
  <c r="G159" i="2"/>
  <c r="G158" i="2"/>
  <c r="G103" i="2"/>
  <c r="F103" i="2"/>
  <c r="C103" i="2"/>
  <c r="F91" i="2"/>
  <c r="E50" i="2"/>
  <c r="C50" i="2"/>
  <c r="F31" i="2"/>
  <c r="C31" i="2"/>
  <c r="E18" i="2"/>
  <c r="E144" i="2"/>
  <c r="F50" i="2"/>
  <c r="F51" i="2" s="1"/>
  <c r="C24" i="10"/>
  <c r="H31" i="13"/>
  <c r="H33" i="13" s="1"/>
  <c r="I338" i="1"/>
  <c r="I352" i="1" s="1"/>
  <c r="J650" i="1"/>
  <c r="L407" i="1"/>
  <c r="C140" i="2" s="1"/>
  <c r="C141" i="2" s="1"/>
  <c r="C144" i="2" s="1"/>
  <c r="L571" i="1"/>
  <c r="I192" i="1"/>
  <c r="E91" i="2"/>
  <c r="E104" i="2" s="1"/>
  <c r="L408" i="1"/>
  <c r="G637" i="1" s="1"/>
  <c r="J637" i="1" s="1"/>
  <c r="D51" i="2"/>
  <c r="J654" i="1"/>
  <c r="J653" i="1"/>
  <c r="G21" i="2"/>
  <c r="G31" i="2" s="1"/>
  <c r="J32" i="1"/>
  <c r="J434" i="1"/>
  <c r="F434" i="1"/>
  <c r="K434" i="1"/>
  <c r="G134" i="2" s="1"/>
  <c r="G144" i="2" s="1"/>
  <c r="G145" i="2" s="1"/>
  <c r="G31" i="13"/>
  <c r="J193" i="1"/>
  <c r="G646" i="1" s="1"/>
  <c r="F104" i="2"/>
  <c r="H193" i="1"/>
  <c r="G629" i="1" s="1"/>
  <c r="J629" i="1" s="1"/>
  <c r="G169" i="1"/>
  <c r="C39" i="10" s="1"/>
  <c r="G140" i="1"/>
  <c r="F140" i="1"/>
  <c r="G63" i="2"/>
  <c r="J618" i="1"/>
  <c r="G42" i="2"/>
  <c r="J51" i="1"/>
  <c r="G16" i="2"/>
  <c r="G18" i="2" s="1"/>
  <c r="J19" i="1"/>
  <c r="G621" i="1" s="1"/>
  <c r="F545" i="1"/>
  <c r="H434" i="1"/>
  <c r="D103" i="2"/>
  <c r="I140" i="1"/>
  <c r="I193" i="1" s="1"/>
  <c r="G630" i="1" s="1"/>
  <c r="J630" i="1" s="1"/>
  <c r="A22" i="12"/>
  <c r="G50" i="2"/>
  <c r="G51" i="2" s="1"/>
  <c r="H648" i="1"/>
  <c r="J652" i="1"/>
  <c r="G571" i="1"/>
  <c r="I434" i="1"/>
  <c r="G434" i="1"/>
  <c r="I663" i="1"/>
  <c r="C27" i="10"/>
  <c r="G635" i="1"/>
  <c r="J635" i="1" s="1"/>
  <c r="J648" i="1" l="1"/>
  <c r="J647" i="1"/>
  <c r="D104" i="2"/>
  <c r="I661" i="1"/>
  <c r="H646" i="1"/>
  <c r="J646" i="1" s="1"/>
  <c r="G104" i="2"/>
  <c r="G24" i="14"/>
  <c r="L338" i="1"/>
  <c r="L352" i="1" s="1"/>
  <c r="G633" i="1" s="1"/>
  <c r="J633" i="1" s="1"/>
  <c r="H660" i="1"/>
  <c r="H664" i="1" s="1"/>
  <c r="H667" i="1" s="1"/>
  <c r="F660" i="1"/>
  <c r="F664" i="1" s="1"/>
  <c r="F667" i="1" s="1"/>
  <c r="E51" i="2"/>
  <c r="F193" i="1"/>
  <c r="G627" i="1" s="1"/>
  <c r="J627" i="1" s="1"/>
  <c r="E145" i="2"/>
  <c r="I662" i="1"/>
  <c r="C81" i="2"/>
  <c r="C104" i="2" s="1"/>
  <c r="L545" i="1"/>
  <c r="G4" i="14"/>
  <c r="H4" i="14" s="1"/>
  <c r="I4" i="14" s="1"/>
  <c r="C115" i="2"/>
  <c r="G36" i="14"/>
  <c r="H36" i="14" s="1"/>
  <c r="I36" i="14" s="1"/>
  <c r="C128" i="2"/>
  <c r="E33" i="13"/>
  <c r="D35" i="13" s="1"/>
  <c r="G33" i="13"/>
  <c r="L257" i="1"/>
  <c r="L271" i="1" s="1"/>
  <c r="G632" i="1" s="1"/>
  <c r="J632" i="1" s="1"/>
  <c r="D31" i="13"/>
  <c r="C31" i="13" s="1"/>
  <c r="I461" i="1"/>
  <c r="H642" i="1" s="1"/>
  <c r="J642" i="1" s="1"/>
  <c r="G660" i="1"/>
  <c r="G664" i="1" s="1"/>
  <c r="G667" i="1" s="1"/>
  <c r="C25" i="13"/>
  <c r="I33" i="13"/>
  <c r="K552" i="1"/>
  <c r="C28" i="10"/>
  <c r="D23" i="10" s="1"/>
  <c r="H24" i="14"/>
  <c r="I24" i="14" s="1"/>
  <c r="C51" i="2"/>
  <c r="G631" i="1"/>
  <c r="J631" i="1" s="1"/>
  <c r="G193" i="1"/>
  <c r="G628" i="1" s="1"/>
  <c r="J628" i="1" s="1"/>
  <c r="G626" i="1"/>
  <c r="J626" i="1" s="1"/>
  <c r="J52" i="1"/>
  <c r="H621" i="1" s="1"/>
  <c r="J621" i="1" s="1"/>
  <c r="C38" i="10"/>
  <c r="H672" i="1" l="1"/>
  <c r="C6" i="10" s="1"/>
  <c r="F672" i="1"/>
  <c r="C4" i="10" s="1"/>
  <c r="C145" i="2"/>
  <c r="G672" i="1"/>
  <c r="C5" i="10" s="1"/>
  <c r="D25" i="10"/>
  <c r="I660" i="1"/>
  <c r="I664" i="1" s="1"/>
  <c r="I672" i="1" s="1"/>
  <c r="C7"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<sst xmlns="http://schemas.openxmlformats.org/spreadsheetml/2006/main" count="5521" uniqueCount="1616">
  <si>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</si>
  <si>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</si>
  <si>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</si>
  <si>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</si>
  <si>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</si>
  <si>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</si>
  <si>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</si>
  <si>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</si>
  <si>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</si>
  <si>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</si>
  <si>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</si>
  <si>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</si>
  <si>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</si>
  <si>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</si>
  <si>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</si>
  <si>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</si>
  <si>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</si>
  <si>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</si>
  <si>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</si>
  <si>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</si>
  <si>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</si>
  <si>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</si>
  <si>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</si>
  <si>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</si>
  <si>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</si>
  <si>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</si>
  <si>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</si>
  <si>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</si>
  <si>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</si>
  <si>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</si>
  <si>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</si>
  <si>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</si>
  <si>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</si>
  <si>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</si>
  <si>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</si>
  <si>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</si>
  <si>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</si>
  <si>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</si>
  <si>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</si>
  <si>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</si>
  <si>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</si>
  <si>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</si>
  <si>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</si>
  <si>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</si>
  <si>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</si>
  <si>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</si>
  <si>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</si>
  <si>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</si>
  <si>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</si>
  <si>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</si>
  <si>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</si>
  <si>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</si>
  <si>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</si>
  <si>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</si>
  <si>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</si>
  <si>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</si>
  <si>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</si>
  <si>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</si>
  <si>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</si>
  <si>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</si>
  <si>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</si>
  <si>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</si>
  <si>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</si>
  <si>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</si>
  <si>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</si>
  <si>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</si>
  <si>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</si>
  <si>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</si>
  <si>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</si>
  <si>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</si>
  <si>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</si>
  <si>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</si>
  <si>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</si>
  <si>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</si>
  <si>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</si>
  <si>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</si>
  <si>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</si>
  <si>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</si>
  <si>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</si>
  <si>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</si>
  <si>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</si>
  <si>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</si>
  <si>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</si>
  <si>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</si>
  <si>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</si>
  <si>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</si>
  <si>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</si>
  <si>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</si>
  <si>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</si>
  <si>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</si>
  <si>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</si>
  <si>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</si>
  <si>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</si>
  <si>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</si>
  <si>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</si>
  <si>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</si>
  <si>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</si>
  <si>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</si>
  <si>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</si>
  <si>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</si>
  <si>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</si>
  <si>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</si>
  <si>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</si>
  <si>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</si>
  <si>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</si>
  <si>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</si>
  <si>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</si>
  <si>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</si>
  <si>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</si>
  <si>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</si>
  <si>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</si>
  <si>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</si>
  <si>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</si>
  <si>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</si>
  <si>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</si>
  <si>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</si>
  <si>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</si>
  <si>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</si>
  <si>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</si>
  <si>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</si>
  <si>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</si>
  <si>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</si>
  <si>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</si>
  <si>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</si>
  <si>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</si>
  <si>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</si>
  <si>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</si>
  <si>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</si>
  <si>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</si>
  <si>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</si>
  <si>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</si>
  <si>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</si>
  <si>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</si>
  <si>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</si>
  <si>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</si>
  <si>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</si>
  <si>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</si>
  <si>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</si>
  <si>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</si>
  <si>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</si>
  <si>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</si>
  <si>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</si>
  <si>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</si>
  <si>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</si>
  <si>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</si>
  <si>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</si>
  <si>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</si>
  <si>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</si>
  <si>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</si>
  <si>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</si>
  <si>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</si>
  <si>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</si>
  <si>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</si>
  <si>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</si>
  <si>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</si>
  <si>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</si>
  <si>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</si>
  <si>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</si>
  <si>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</si>
  <si>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</si>
  <si>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</si>
  <si>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</si>
  <si>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</si>
  <si>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</si>
  <si>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</si>
  <si>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</si>
  <si>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</si>
  <si>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</si>
  <si>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</si>
  <si>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</si>
  <si>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</si>
  <si>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</si>
  <si>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</si>
  <si>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</si>
  <si>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</si>
  <si>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</si>
  <si>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</si>
  <si>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</si>
  <si>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</si>
  <si>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</si>
  <si>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</si>
  <si>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</si>
  <si>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</si>
  <si>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</si>
  <si>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</si>
  <si>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</si>
  <si>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</si>
  <si>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</si>
  <si>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</si>
  <si>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</si>
  <si>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</si>
  <si>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</si>
  <si>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</si>
  <si>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</si>
  <si>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</si>
  <si>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</si>
  <si>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</si>
  <si>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</si>
  <si>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</si>
  <si>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</si>
  <si>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</si>
  <si>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</si>
  <si>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</si>
  <si>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</si>
  <si>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</si>
  <si>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</si>
  <si>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</si>
  <si>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</si>
  <si>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</si>
  <si>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</si>
  <si>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</si>
  <si>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</si>
  <si>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</si>
  <si>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</si>
  <si>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</si>
  <si>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</si>
  <si>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</si>
  <si>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</si>
  <si>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</si>
  <si>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</si>
  <si>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</si>
  <si>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</si>
  <si>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</si>
  <si>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</si>
  <si>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</si>
  <si>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</si>
  <si>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</si>
  <si>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</si>
  <si>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</si>
  <si>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</si>
  <si>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</si>
  <si>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</si>
  <si>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</si>
  <si>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</si>
  <si>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</si>
  <si>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</si>
  <si>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</si>
  <si>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</si>
  <si>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</si>
  <si>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</si>
  <si>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</si>
  <si>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</si>
  <si>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</si>
  <si>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</si>
  <si>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</si>
  <si>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</si>
  <si>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</si>
  <si>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</si>
  <si>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</si>
  <si>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</si>
  <si>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</si>
  <si>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</si>
  <si>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</si>
  <si>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</si>
  <si>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</si>
  <si>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</si>
  <si>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</si>
  <si>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</si>
  <si>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</si>
  <si>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</si>
  <si>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</si>
  <si>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</si>
  <si>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</si>
  <si>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</si>
  <si>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</si>
  <si>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</si>
  <si>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</si>
  <si>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</si>
  <si>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</si>
  <si>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</si>
  <si>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</si>
  <si>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</si>
  <si>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</si>
  <si>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</si>
  <si>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</si>
  <si>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</si>
  <si>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</si>
  <si>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</si>
  <si>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</si>
  <si>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</si>
  <si>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</si>
  <si>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</si>
  <si>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</si>
  <si>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</si>
  <si>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</si>
  <si>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</si>
  <si>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</si>
  <si>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</si>
  <si>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</si>
  <si>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</si>
  <si>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</si>
  <si>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</si>
  <si>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</si>
  <si>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</si>
  <si>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</si>
  <si>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</si>
  <si>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</si>
  <si>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</si>
  <si>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</si>
  <si>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</si>
  <si>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</si>
  <si>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</si>
  <si>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</si>
  <si>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</si>
  <si>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</si>
  <si>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</si>
  <si>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</si>
  <si>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</si>
  <si>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</si>
  <si>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</si>
  <si>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</si>
  <si>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</si>
  <si>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</si>
  <si>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</si>
  <si>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</si>
  <si>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</si>
  <si>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</si>
  <si>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</si>
  <si>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</si>
  <si>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</si>
  <si>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</si>
  <si>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</si>
  <si>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</si>
  <si>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</si>
  <si>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</si>
  <si>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</si>
  <si>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</si>
  <si>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</si>
  <si>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</si>
  <si>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</si>
  <si>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</si>
  <si>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</si>
  <si>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</si>
  <si>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</si>
  <si>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</si>
  <si>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</si>
  <si>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</si>
  <si>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</si>
  <si>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</si>
  <si>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</si>
  <si>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</si>
  <si>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</si>
  <si>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</si>
  <si>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</si>
  <si>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</si>
  <si>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</si>
  <si>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</si>
  <si>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</si>
  <si>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</si>
  <si>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</si>
  <si>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</si>
  <si>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</si>
  <si>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</si>
  <si>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</si>
  <si>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</si>
  <si>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</si>
  <si>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</si>
  <si>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</si>
  <si>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</si>
  <si>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</si>
  <si>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</si>
  <si>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</si>
  <si>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</si>
  <si>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</si>
  <si>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</si>
  <si>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</si>
  <si>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</si>
  <si>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</si>
  <si>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</si>
  <si>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</si>
  <si>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</si>
  <si>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</si>
  <si>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</si>
  <si>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</si>
  <si>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</si>
  <si>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</si>
  <si>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</si>
  <si>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</si>
  <si>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</si>
  <si>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</si>
  <si>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</si>
  <si>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</si>
  <si>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</si>
  <si>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</si>
  <si>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</si>
  <si>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</si>
  <si>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</si>
  <si>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</si>
  <si>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</si>
  <si>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</si>
  <si>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</si>
  <si>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</si>
  <si>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</si>
  <si>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</si>
  <si>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</si>
  <si>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</si>
  <si>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</si>
  <si>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</si>
  <si>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</si>
  <si>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</si>
  <si>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</si>
  <si>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</si>
  <si>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</si>
  <si>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</si>
  <si>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</si>
  <si>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</si>
  <si>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</si>
  <si>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</si>
  <si>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</si>
  <si>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</si>
  <si>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</si>
  <si>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</si>
  <si>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</si>
  <si>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</si>
  <si>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</si>
  <si>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</si>
  <si>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</si>
  <si>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</si>
  <si>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</si>
  <si>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</si>
  <si>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</si>
  <si>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</si>
  <si>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</si>
  <si>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</si>
  <si>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</si>
  <si>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</si>
  <si>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</si>
  <si>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</si>
  <si>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</si>
  <si>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</si>
  <si>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</si>
  <si>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</si>
  <si>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</si>
  <si>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</si>
  <si>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</si>
  <si>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</si>
  <si>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</si>
  <si>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</si>
  <si>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</si>
  <si>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</si>
  <si>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</si>
  <si>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</si>
  <si>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</si>
  <si>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</si>
  <si>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</si>
  <si>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</si>
  <si>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</si>
  <si>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</si>
  <si>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</si>
  <si>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</si>
  <si>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</si>
  <si>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</si>
  <si>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</si>
  <si>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</si>
  <si>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</si>
  <si>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</si>
  <si>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</si>
  <si>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</si>
  <si>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</si>
  <si>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</si>
  <si>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</si>
  <si>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</si>
  <si>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</si>
  <si>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</si>
  <si>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</si>
  <si>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</si>
  <si>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</si>
  <si>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</si>
  <si>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</si>
  <si>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</si>
  <si>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</si>
  <si>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</si>
  <si>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</si>
  <si>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</si>
  <si>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</si>
  <si>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</si>
  <si>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</si>
  <si>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</si>
  <si>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</si>
  <si>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</si>
  <si>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</si>
  <si>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</si>
  <si>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</si>
  <si>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</si>
  <si>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</si>
  <si>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</si>
  <si>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</si>
  <si>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</si>
  <si>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</si>
  <si>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</si>
  <si>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</si>
  <si>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</si>
  <si>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</si>
  <si>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</si>
  <si>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</si>
  <si>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</si>
  <si>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</si>
  <si>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</si>
  <si>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</si>
  <si>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</si>
  <si>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</si>
  <si>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</si>
  <si>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</si>
  <si>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</si>
  <si>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</si>
  <si>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</si>
  <si>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</si>
  <si>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</si>
  <si>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</si>
  <si>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</si>
  <si>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</si>
  <si>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</si>
  <si>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</si>
  <si>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</si>
  <si>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</si>
  <si>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</si>
  <si>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</si>
  <si>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</si>
  <si>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</si>
  <si>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</si>
  <si>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</si>
  <si>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</si>
  <si>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</si>
  <si>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</si>
  <si>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</si>
  <si>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</si>
  <si>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</si>
  <si>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</si>
  <si>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</si>
  <si>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</si>
  <si>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</si>
  <si>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</si>
  <si>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</si>
  <si>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</si>
  <si>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</si>
  <si>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</si>
  <si>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</si>
  <si>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</si>
  <si>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</si>
  <si>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</si>
  <si>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</si>
  <si>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</si>
  <si>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</si>
  <si>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</si>
  <si>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</si>
  <si>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</si>
  <si>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</si>
  <si>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</si>
  <si>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</si>
  <si>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</si>
  <si>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</si>
  <si>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</si>
  <si>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</si>
  <si>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</si>
  <si>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</si>
  <si>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</si>
  <si>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</si>
  <si>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</si>
  <si>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</si>
  <si>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</si>
  <si>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</si>
  <si>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</si>
  <si>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</si>
  <si>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</si>
  <si>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</si>
  <si>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</si>
  <si>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</si>
  <si>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</si>
  <si>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</si>
  <si>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</si>
  <si>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</si>
  <si>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</si>
  <si>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</si>
  <si>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</si>
  <si>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</si>
  <si>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</si>
  <si>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</si>
  <si>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</si>
  <si>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</si>
  <si>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</si>
  <si>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</si>
  <si>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</si>
  <si>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</si>
  <si>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</si>
  <si>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</si>
  <si>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</si>
  <si>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</si>
  <si>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</si>
  <si>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</si>
  <si>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</si>
  <si>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</si>
  <si>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</si>
  <si>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</si>
  <si>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</si>
  <si>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</si>
  <si>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</si>
  <si>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</si>
  <si>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</si>
  <si>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</si>
  <si>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</si>
  <si>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</si>
  <si>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</si>
  <si>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</si>
  <si>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</si>
  <si>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</si>
  <si>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</si>
  <si>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</si>
  <si>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</si>
  <si>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</si>
  <si>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</si>
  <si>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</si>
  <si>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</si>
  <si>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</si>
  <si>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</si>
  <si>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</si>
  <si>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</si>
  <si>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</si>
  <si>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</si>
  <si>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</si>
  <si>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</si>
  <si>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</si>
  <si>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</si>
  <si>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</si>
  <si>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</si>
  <si>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</si>
  <si>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</si>
  <si>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</si>
  <si>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</si>
  <si>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</si>
  <si>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</si>
  <si>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</si>
  <si>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</si>
  <si>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</si>
  <si>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</si>
  <si>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</si>
  <si>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</si>
  <si>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</si>
  <si>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</si>
  <si>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</si>
  <si>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</si>
  <si>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</si>
  <si>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</si>
  <si>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</si>
  <si>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</si>
  <si>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</si>
  <si>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</si>
  <si>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</si>
  <si>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</si>
  <si>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</si>
  <si>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</si>
  <si>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</si>
  <si>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</si>
  <si>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</si>
  <si>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</si>
  <si>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</si>
  <si>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</si>
  <si>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</si>
  <si>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</si>
  <si>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</si>
  <si>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</si>
  <si>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</si>
  <si>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</si>
  <si>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</si>
  <si>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</si>
  <si>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</si>
  <si>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</si>
  <si>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</si>
  <si>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</si>
  <si>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</si>
  <si>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</si>
  <si>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</si>
  <si>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</si>
  <si>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</si>
  <si>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</si>
  <si>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</si>
  <si>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</si>
  <si>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</si>
  <si>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</si>
  <si>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</si>
  <si>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</si>
  <si>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</si>
  <si>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</si>
  <si>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</si>
  <si>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</si>
  <si>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</si>
  <si>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</si>
  <si>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</si>
  <si>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</si>
  <si>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</si>
  <si>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</si>
  <si>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</si>
  <si>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</si>
  <si>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</si>
  <si>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</si>
  <si>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</si>
  <si>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</si>
  <si>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</si>
  <si>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</si>
  <si>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</si>
  <si>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</si>
  <si>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</si>
  <si>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</si>
  <si>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</si>
  <si>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</si>
  <si>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</si>
  <si>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</si>
  <si>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</si>
  <si>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</si>
  <si>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</si>
  <si>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</si>
  <si>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</si>
  <si>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</si>
  <si>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</si>
  <si>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</si>
  <si>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</si>
  <si>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</si>
  <si>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</si>
  <si>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</si>
  <si>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</si>
  <si>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</si>
  <si>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</si>
  <si>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</si>
  <si>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</si>
  <si>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</si>
  <si>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</si>
  <si>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</si>
  <si>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</si>
  <si>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</si>
  <si>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</si>
  <si>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</si>
  <si>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</si>
  <si>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</si>
  <si>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</si>
  <si>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</si>
  <si>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</si>
  <si>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</si>
  <si>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</si>
  <si>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</si>
  <si>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</si>
  <si>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</si>
  <si>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</si>
  <si>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</si>
  <si>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</si>
  <si>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</si>
  <si>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</si>
  <si>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</si>
  <si>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</si>
  <si>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</si>
  <si>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</si>
  <si>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</si>
  <si>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</si>
  <si>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</si>
  <si>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</si>
  <si>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</si>
  <si>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</si>
  <si>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</si>
  <si>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</si>
  <si>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</si>
  <si>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</si>
  <si>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</si>
  <si>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</si>
  <si>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</si>
  <si>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</si>
  <si>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</si>
  <si>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</si>
  <si>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</si>
  <si>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</si>
  <si>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</si>
  <si>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</si>
  <si>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</si>
  <si>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</si>
  <si>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</si>
  <si>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</si>
  <si>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</si>
  <si>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</si>
  <si>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</si>
  <si>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</si>
  <si>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</si>
  <si>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</si>
  <si>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</si>
  <si>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</si>
  <si>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</si>
  <si>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</si>
  <si>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</si>
  <si>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</si>
  <si>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</si>
  <si>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</si>
  <si>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</si>
  <si>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</si>
  <si>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</si>
  <si>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</si>
  <si>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</si>
  <si>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</si>
  <si>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</si>
  <si>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</si>
  <si>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</si>
  <si>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</si>
  <si>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</si>
  <si>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</si>
  <si>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</si>
  <si>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</si>
  <si>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</si>
  <si>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</si>
  <si>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</si>
  <si>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</si>
  <si>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</si>
  <si>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</si>
  <si>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</si>
  <si>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</si>
  <si>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</si>
  <si>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</si>
  <si>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</si>
  <si>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</si>
  <si>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</si>
  <si>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</si>
  <si>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</si>
  <si>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</si>
  <si>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</si>
  <si>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</si>
  <si>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</si>
  <si>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</si>
  <si>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</si>
  <si>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</si>
  <si>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</si>
  <si>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</si>
  <si>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</si>
  <si>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</si>
  <si>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</si>
  <si>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</si>
  <si>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</si>
  <si>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</si>
  <si>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</si>
  <si>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</si>
  <si>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</si>
  <si>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</si>
  <si>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</si>
  <si>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</si>
  <si>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</si>
  <si>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</si>
  <si>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</si>
  <si>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</si>
  <si>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</si>
  <si>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</si>
  <si>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</si>
  <si>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</si>
  <si>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</si>
  <si>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</si>
  <si>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</si>
  <si>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</si>
  <si>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</si>
  <si>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</si>
  <si>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</si>
  <si>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</si>
  <si>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</si>
  <si>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</si>
  <si>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</si>
  <si>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</si>
  <si>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</si>
  <si>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</si>
  <si>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</si>
  <si>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</si>
  <si>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</si>
  <si>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</si>
  <si>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</si>
  <si>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</si>
  <si>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</si>
  <si>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</si>
  <si>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</si>
  <si>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</si>
  <si>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</si>
  <si>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</si>
  <si>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</si>
  <si>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</si>
  <si>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</si>
  <si>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</si>
  <si>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</si>
  <si>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</si>
  <si>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</si>
  <si>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</si>
  <si>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</si>
  <si>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</si>
  <si>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</si>
  <si>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</si>
  <si>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</si>
  <si>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</si>
  <si>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</si>
  <si>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</si>
  <si>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</si>
  <si>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</si>
  <si>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</si>
  <si>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</si>
  <si>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</si>
  <si>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</si>
  <si>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</si>
  <si>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</si>
  <si>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</si>
  <si>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</si>
  <si>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</si>
  <si>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</si>
  <si>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</si>
  <si>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</si>
  <si>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</si>
  <si>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</si>
  <si>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</si>
  <si>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</si>
  <si>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</si>
  <si>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</si>
  <si>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</si>
  <si>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</si>
  <si>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</si>
  <si>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</si>
  <si>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</si>
  <si>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</si>
  <si>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</si>
  <si>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</si>
  <si>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</si>
  <si>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</si>
  <si>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</si>
  <si>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</si>
  <si>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</si>
  <si>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</si>
  <si>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</si>
  <si>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</si>
  <si>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</si>
  <si>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</si>
  <si>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</si>
  <si>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</si>
  <si>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</si>
  <si>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</si>
  <si>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</si>
  <si>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</si>
  <si>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</si>
  <si>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</si>
  <si>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</si>
  <si>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</si>
  <si>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</si>
  <si>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</si>
  <si>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</si>
  <si>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</si>
  <si>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</si>
  <si>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</si>
  <si>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</si>
  <si>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</si>
  <si>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</si>
  <si>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</si>
  <si>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</si>
  <si>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</si>
  <si>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</si>
  <si>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</si>
  <si>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</si>
  <si>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</si>
  <si>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</si>
  <si>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</si>
  <si>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</si>
  <si>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</si>
  <si>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</si>
  <si>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</si>
  <si>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</si>
  <si>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</si>
  <si>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</si>
  <si>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</si>
  <si>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</si>
  <si>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</si>
  <si>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</si>
  <si>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</si>
  <si>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</si>
  <si>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</si>
  <si>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</si>
  <si>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</si>
  <si>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</si>
  <si>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</si>
  <si>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</si>
  <si>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</si>
  <si>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</si>
  <si>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</si>
  <si>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</si>
  <si>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</si>
  <si>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</si>
  <si>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</si>
  <si>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</si>
  <si>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</si>
  <si>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</si>
  <si>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</si>
  <si>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</si>
  <si>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</si>
  <si>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</si>
  <si>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</si>
  <si>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</si>
  <si>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</si>
  <si>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</si>
  <si>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</si>
  <si>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</si>
  <si>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</si>
  <si>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</si>
  <si>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</si>
  <si>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</si>
  <si>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</si>
  <si>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</si>
  <si>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</si>
  <si>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</si>
  <si>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</si>
  <si>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</si>
  <si>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</si>
  <si>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</si>
  <si>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</si>
  <si>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</si>
  <si>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</si>
  <si>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</si>
  <si>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</si>
  <si>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</si>
  <si>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</si>
  <si>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</si>
  <si>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</si>
  <si>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</si>
  <si>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</si>
  <si>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</si>
  <si>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</si>
  <si>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</si>
  <si>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</si>
  <si>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</si>
  <si>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</si>
  <si>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</si>
  <si>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</si>
  <si>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</si>
  <si>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</si>
  <si>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</si>
  <si>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</si>
  <si>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</si>
  <si>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</si>
  <si>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</si>
  <si>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</si>
  <si>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</si>
  <si>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</si>
  <si>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</si>
  <si>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</si>
  <si>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</si>
  <si>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</si>
  <si>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</si>
  <si>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</si>
  <si>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</si>
  <si>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</si>
  <si>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</si>
  <si>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</si>
  <si>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</si>
  <si>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</si>
  <si>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</si>
  <si>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</si>
  <si>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</si>
  <si>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</si>
  <si>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</si>
  <si>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</si>
  <si>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</si>
  <si>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</si>
  <si>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</si>
  <si>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</si>
  <si>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</si>
  <si>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</si>
  <si>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</si>
  <si>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</si>
  <si>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</si>
  <si>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</si>
  <si>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</si>
  <si>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</si>
  <si>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</si>
  <si>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</si>
  <si>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</si>
  <si>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</si>
  <si>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</si>
  <si>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</si>
  <si>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</si>
  <si>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</si>
  <si>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</si>
  <si>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</si>
  <si>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</si>
  <si>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</si>
  <si>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</si>
  <si>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</si>
  <si>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</si>
  <si>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</si>
  <si>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</si>
  <si>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</si>
  <si>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</si>
  <si>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</si>
  <si>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</si>
  <si>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</si>
  <si>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</si>
  <si>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</si>
  <si>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</si>
  <si>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</si>
  <si>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</si>
  <si>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</si>
  <si>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</si>
  <si>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</si>
  <si>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</si>
  <si>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</si>
  <si>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</si>
  <si>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</si>
  <si>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</si>
  <si>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</si>
  <si>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</si>
  <si>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</si>
  <si>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</si>
  <si>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</si>
  <si>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</si>
  <si>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</si>
  <si>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</si>
  <si>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</si>
  <si>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</si>
  <si>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</si>
  <si>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</si>
  <si>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</si>
  <si>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</si>
  <si>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</si>
  <si>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</si>
  <si>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</si>
  <si>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</si>
  <si>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</si>
  <si>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</si>
  <si>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</si>
  <si>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</si>
  <si>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</si>
  <si>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</si>
  <si>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</si>
  <si>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</si>
  <si>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</si>
  <si>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</si>
  <si>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</si>
  <si>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</si>
  <si>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</si>
  <si>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</si>
  <si>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</si>
  <si>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</si>
  <si>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</si>
  <si>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</si>
  <si>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</si>
  <si>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</si>
  <si>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</si>
  <si>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</si>
  <si>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</si>
  <si>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</si>
  <si>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</si>
  <si>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</si>
  <si>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</si>
  <si>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</si>
  <si>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</si>
  <si>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</si>
  <si>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</si>
  <si>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</si>
  <si>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</si>
  <si>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</si>
  <si>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</si>
  <si>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</si>
  <si>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</si>
  <si>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</si>
  <si>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</si>
  <si>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</si>
  <si>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</si>
  <si>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</si>
  <si>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</si>
  <si>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</si>
  <si>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</si>
  <si>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</si>
  <si>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</si>
  <si>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</si>
  <si>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</si>
  <si>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</si>
  <si>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</si>
  <si>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</si>
  <si>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</si>
  <si>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</si>
  <si>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</si>
  <si>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</si>
  <si>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</si>
  <si>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</si>
  <si>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</si>
  <si>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</si>
  <si>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</si>
  <si>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</si>
  <si>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</si>
  <si>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</si>
  <si>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</si>
  <si>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</si>
  <si>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</si>
  <si>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</si>
  <si>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</si>
  <si>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</si>
  <si>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</si>
  <si>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</si>
  <si>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</si>
  <si>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</si>
  <si>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</si>
  <si>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</si>
  <si>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</si>
  <si>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</si>
  <si>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</si>
  <si>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</si>
  <si>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</si>
  <si>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</si>
  <si>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</si>
  <si>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</si>
  <si>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</si>
  <si>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</si>
  <si>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</si>
  <si>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</si>
  <si>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</si>
  <si>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</si>
  <si>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</si>
  <si>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</si>
  <si>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</si>
  <si>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</si>
  <si>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</si>
  <si>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</si>
  <si>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</si>
  <si>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</si>
  <si>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</si>
  <si>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</si>
  <si>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</si>
  <si>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</si>
  <si>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</si>
  <si>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</si>
  <si>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</si>
  <si>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</si>
  <si>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</si>
  <si>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</si>
  <si>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</si>
  <si>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</si>
  <si>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</si>
  <si>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</si>
  <si>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</si>
  <si>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</si>
  <si>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</si>
  <si>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</si>
  <si>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</si>
  <si>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</si>
  <si>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</si>
  <si>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</si>
  <si>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</si>
  <si>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</si>
  <si>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</si>
  <si>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</si>
  <si>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</si>
  <si>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</si>
  <si>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</si>
  <si>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</si>
  <si>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</si>
  <si>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</si>
  <si>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</si>
  <si>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</si>
  <si>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</si>
  <si>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</si>
  <si>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</si>
  <si>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</si>
  <si>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</si>
  <si>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</si>
  <si>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</si>
  <si>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</si>
  <si>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</si>
  <si>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</si>
  <si>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</si>
  <si>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</si>
  <si>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</si>
  <si>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</si>
  <si>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</si>
  <si>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</si>
  <si>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</si>
  <si>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</si>
  <si>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</si>
  <si>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</si>
  <si>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</si>
  <si>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</si>
  <si>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</si>
  <si>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</si>
  <si>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</si>
  <si>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</si>
  <si>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</si>
  <si>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</si>
  <si>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</si>
  <si>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</si>
  <si>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</si>
  <si>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</si>
  <si>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</si>
  <si>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</si>
  <si>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</si>
  <si>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</si>
  <si>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</si>
  <si>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</si>
  <si>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</si>
  <si>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</si>
  <si>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</si>
  <si>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</si>
  <si>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</si>
  <si>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</si>
  <si>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</si>
  <si>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</si>
  <si>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</si>
  <si>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</si>
  <si>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</si>
  <si>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</si>
  <si>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</si>
  <si>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</si>
  <si>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</si>
  <si>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</si>
  <si>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</si>
  <si>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</si>
  <si>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</si>
  <si>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</si>
  <si>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</si>
  <si>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</si>
  <si>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</si>
  <si>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</si>
  <si>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</si>
  <si>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</si>
  <si>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</si>
  <si>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</si>
  <si>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</si>
  <si>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</si>
  <si>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</si>
  <si>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</si>
  <si>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</si>
  <si>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</si>
  <si>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</si>
  <si>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</si>
  <si>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</si>
  <si>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</si>
  <si>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</si>
  <si>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</si>
  <si>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</si>
  <si>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</si>
  <si>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</si>
  <si>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</si>
  <si>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</si>
  <si>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</si>
  <si>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</si>
  <si>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</si>
  <si>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</si>
  <si>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</si>
  <si>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</si>
  <si>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</si>
  <si>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</si>
  <si>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</si>
  <si>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</si>
  <si>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</si>
  <si>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</si>
  <si>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</si>
  <si>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</si>
  <si>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</si>
  <si>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</si>
  <si>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</si>
  <si>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</si>
  <si>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</si>
  <si>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</si>
  <si>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</si>
  <si>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</si>
  <si>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</si>
  <si>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</si>
  <si>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</si>
  <si>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</si>
  <si>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</si>
  <si>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</si>
  <si>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</si>
  <si>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</si>
  <si>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</si>
  <si>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</si>
  <si>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</si>
  <si>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</si>
  <si>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</si>
  <si>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</si>
  <si>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</si>
  <si>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</si>
  <si>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</si>
  <si>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</si>
  <si>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</si>
  <si>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</si>
  <si>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</si>
  <si>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</si>
  <si>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</si>
  <si>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</si>
  <si>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</si>
  <si>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</si>
  <si>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</si>
  <si>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</si>
  <si>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</si>
  <si>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</si>
  <si>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</si>
  <si>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</si>
  <si>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</si>
  <si>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</si>
  <si>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</si>
  <si>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</si>
  <si>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</si>
  <si>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</si>
  <si>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</si>
  <si>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</si>
  <si>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</si>
  <si>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</si>
  <si>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</si>
  <si>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</si>
  <si>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</si>
  <si>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</si>
  <si>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</si>
  <si>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</si>
  <si>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</si>
  <si>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</si>
  <si>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</si>
  <si>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</si>
  <si>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</si>
  <si>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</si>
  <si>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</si>
  <si>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</si>
  <si>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</si>
  <si>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</si>
  <si>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</si>
  <si>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</si>
  <si>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</si>
  <si>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</si>
  <si>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</si>
  <si>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</si>
  <si>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</si>
  <si>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</si>
  <si>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</si>
  <si>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</si>
  <si>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</si>
  <si>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</si>
  <si>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</si>
  <si>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</si>
  <si>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</si>
  <si>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</si>
  <si>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</si>
  <si>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</si>
  <si>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</si>
  <si>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</si>
  <si>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</si>
  <si>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</si>
  <si>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</si>
  <si>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</si>
  <si>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</si>
  <si>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</si>
  <si>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</si>
  <si>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</si>
  <si>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</si>
  <si>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</si>
  <si>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</si>
  <si>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</si>
  <si>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</si>
  <si>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</si>
  <si>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</si>
  <si>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</si>
  <si>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</si>
  <si>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</si>
  <si>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</si>
  <si>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</si>
  <si>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</si>
  <si>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</si>
  <si>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</si>
  <si>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</si>
  <si>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</si>
  <si>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</si>
  <si>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</si>
  <si>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</si>
  <si>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</si>
  <si>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</si>
  <si>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</si>
  <si>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</si>
  <si>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</si>
  <si>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</si>
  <si>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</si>
  <si>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</si>
  <si>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</si>
  <si>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</si>
  <si>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</si>
  <si>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</si>
  <si>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</si>
  <si>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</si>
  <si>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</si>
  <si>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</si>
  <si>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</si>
  <si>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</si>
  <si>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</si>
  <si>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</si>
  <si>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</si>
  <si>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</si>
  <si>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</si>
  <si>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</si>
  <si>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</si>
  <si>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</si>
  <si>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</si>
  <si>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</si>
  <si>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</si>
  <si>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</si>
  <si>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</si>
  <si>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</si>
  <si>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</si>
  <si>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</si>
  <si>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</si>
  <si>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</si>
  <si>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</si>
  <si>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</si>
  <si>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</si>
  <si>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</si>
  <si>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</si>
  <si>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</si>
  <si>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</si>
  <si>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</si>
  <si>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</si>
  <si>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</si>
  <si>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</si>
  <si>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</si>
  <si>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</si>
  <si>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</si>
  <si>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</si>
  <si>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</si>
  <si>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</si>
  <si>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</si>
  <si>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</si>
  <si>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</si>
  <si>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</si>
  <si>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</si>
  <si>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</si>
  <si>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</si>
  <si>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</si>
  <si>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</si>
  <si>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</si>
  <si>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</si>
  <si>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</si>
  <si>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</si>
  <si>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</si>
  <si>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</si>
  <si>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</si>
  <si>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</si>
  <si>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</si>
  <si>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</si>
  <si>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</si>
  <si>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</si>
  <si>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</si>
  <si>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</si>
  <si>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</si>
  <si>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</si>
  <si>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</si>
  <si>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</si>
  <si>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</si>
  <si>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</si>
  <si>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</si>
  <si>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</si>
  <si>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</si>
  <si>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</si>
  <si>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</si>
  <si>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</si>
  <si>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</si>
  <si>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</si>
  <si>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</si>
  <si>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</si>
  <si>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</si>
  <si>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</si>
  <si>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</si>
  <si>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</si>
  <si>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</si>
  <si>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</si>
  <si>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</si>
  <si>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</si>
  <si>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</si>
  <si>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</si>
  <si>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</si>
  <si>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</si>
  <si>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</si>
  <si>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</si>
  <si>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</si>
  <si>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</si>
  <si>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</si>
  <si>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</si>
  <si>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</si>
  <si>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</si>
  <si>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</si>
  <si>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</si>
  <si>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</si>
  <si>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</si>
  <si>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</si>
  <si>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</si>
  <si>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</si>
  <si>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</si>
  <si>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</si>
  <si>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</si>
  <si>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</si>
  <si>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</si>
  <si>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</si>
  <si>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</si>
  <si>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</si>
  <si>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</si>
  <si>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</si>
  <si>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</si>
  <si>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</si>
  <si>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</si>
  <si>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</si>
  <si>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</si>
  <si>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</si>
  <si>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</si>
  <si>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</si>
  <si>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</si>
  <si>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</si>
  <si>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</si>
  <si>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</si>
  <si>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</si>
  <si>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</si>
  <si>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</si>
  <si>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</si>
  <si>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</si>
  <si>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</si>
  <si>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</si>
  <si>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</si>
  <si>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</si>
  <si>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</si>
  <si>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2/01</t>
  </si>
  <si>
    <t>2/04</t>
  </si>
  <si>
    <t>07/07</t>
  </si>
  <si>
    <t>8/20</t>
  </si>
  <si>
    <t>8/23</t>
  </si>
  <si>
    <t>07/20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</si>
</sst>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574" activePane="bottomRight" state="frozen"/>
      <selection pane="topRight" activeCell="F1" sqref="F1"/>
      <selection pane="bottomLeft" activeCell="A4" sqref="A4"/>
      <selection pane="bottomRight" activeCell="H584" sqref="H584"/>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1264</v>
      </c>
      <c r="B2" s="21">
        <v>351</v>
      </c>
      <c r="C2" s="21">
        <v>351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3462877.92+16638.65+164.43</f>
        <v>3479681</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v>184074</v>
      </c>
      <c r="I10" s="18"/>
      <c r="J10" s="67">
        <f>SUM(I440)</f>
        <v>768055.47</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143189.09+8908.15</f>
        <v>152097.24</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111501.45</v>
      </c>
      <c r="G13" s="18">
        <v>32319.11</v>
      </c>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1029.0999999999999</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3744308.7900000005</v>
      </c>
      <c r="G19" s="41">
        <f>SUM(G9:G18)</f>
        <v>32319.11</v>
      </c>
      <c r="H19" s="41">
        <f>SUM(H9:H18)</f>
        <v>184074</v>
      </c>
      <c r="I19" s="41">
        <f>SUM(I9:I18)</f>
        <v>0</v>
      </c>
      <c r="J19" s="41">
        <f>SUM(J9:J18)</f>
        <v>768055.47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175729</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319950.71999999997</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319950.71999999997</v>
      </c>
      <c r="G32" s="41">
        <f>SUM(G22:G31)</f>
        <v>0</v>
      </c>
      <c r="H32" s="41">
        <f>SUM(H22:H31)</f>
        <v>175729</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21839.07</v>
      </c>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v>32319.11</v>
      </c>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200000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8345</v>
      </c>
      <c r="I48" s="18"/>
      <c r="J48" s="13">
        <f>SUM(I459)</f>
        <v>768055.47</v>
      </c>
      <c r="K48" s="24" t="s">
        <v>288</v>
      </c>
      <c r="L48" s="24" t="s">
        <v>288</v>
      </c>
      <c r="M48" s="8"/>
      <c r="N48" s="266"/>
    </row>
    <row r="49" spans="1:14" s="3" customFormat="1" ht="12.2" customHeight="1" x14ac:dyDescent="0.15">
      <c r="A49" s="1" t="s">
        <v>859</v>
      </c>
      <c r="B49" s="2" t="s">
        <v>289</v>
      </c>
      <c r="C49" s="6">
        <v>34</v>
      </c>
      <c r="D49" s="2"/>
      <c r="E49" s="6">
        <v>753</v>
      </c>
      <c r="F49" s="18">
        <v>29651</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3172868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3424358.07</v>
      </c>
      <c r="G51" s="41">
        <f>SUM(G35:G50)</f>
        <v>32319.11</v>
      </c>
      <c r="H51" s="41">
        <f>SUM(H35:H50)</f>
        <v>8345</v>
      </c>
      <c r="I51" s="41">
        <f>SUM(I35:I50)</f>
        <v>0</v>
      </c>
      <c r="J51" s="41">
        <f>SUM(J35:J50)</f>
        <v>768055.47</v>
      </c>
      <c r="K51" s="45" t="s">
        <v>288</v>
      </c>
      <c r="L51" s="45" t="s">
        <v>288</v>
      </c>
      <c r="N51" s="264"/>
    </row>
    <row r="52" spans="1:14" s="3" customFormat="1" ht="12.2" customHeight="1" thickTop="1" x14ac:dyDescent="0.15">
      <c r="A52" s="38" t="s">
        <v>455</v>
      </c>
      <c r="B52" s="39" t="s">
        <v>289</v>
      </c>
      <c r="C52" s="6">
        <v>37</v>
      </c>
      <c r="D52" s="39" t="s">
        <v>653</v>
      </c>
      <c r="E52" s="39"/>
      <c r="F52" s="41">
        <f>F51+F32</f>
        <v>3744308.79</v>
      </c>
      <c r="G52" s="41">
        <f>G51+G32</f>
        <v>32319.11</v>
      </c>
      <c r="H52" s="41">
        <f>H51+H32</f>
        <v>184074</v>
      </c>
      <c r="I52" s="41">
        <f>I51+I32</f>
        <v>0</v>
      </c>
      <c r="J52" s="41">
        <f>J51+J32</f>
        <v>768055.47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53547703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53547703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159813</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8295</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38280</v>
      </c>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21944</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42553</v>
      </c>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270885</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82844</v>
      </c>
      <c r="G96" s="18"/>
      <c r="H96" s="18"/>
      <c r="I96" s="18"/>
      <c r="J96" s="18">
        <v>13402.47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941292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22700</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f>25966-8996.4</f>
        <v>16969.599999999999</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f>17694+3</f>
        <v>17697</v>
      </c>
      <c r="G102" s="18"/>
      <c r="H102" s="18">
        <v>10100</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140210.6</v>
      </c>
      <c r="G111" s="41">
        <f>SUM(G96:G110)</f>
        <v>941292</v>
      </c>
      <c r="H111" s="41">
        <f>SUM(H96:H110)</f>
        <v>10100</v>
      </c>
      <c r="I111" s="41">
        <f>SUM(I96:I110)</f>
        <v>0</v>
      </c>
      <c r="J111" s="41">
        <f>SUM(J96:J110)</f>
        <v>13402.47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53958798.600000001</v>
      </c>
      <c r="G112" s="41">
        <f>G60+G111</f>
        <v>941292</v>
      </c>
      <c r="H112" s="41">
        <f>H60+H79+H94+H111</f>
        <v>10100</v>
      </c>
      <c r="I112" s="41">
        <f>I60+I111</f>
        <v>0</v>
      </c>
      <c r="J112" s="41">
        <f>J60+J111</f>
        <v>13402.47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8274377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7054459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22369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15351205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441973</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260700</v>
      </c>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836912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8996.4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16873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38186</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1586767.4</v>
      </c>
      <c r="G136" s="41">
        <f>SUM(G123:G135)</f>
        <v>16873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16937972.399999999</v>
      </c>
      <c r="G140" s="41">
        <f>G121+SUM(G136:G137)</f>
        <v>16873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703+170709+7328+93</f>
        <v>178833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14565+34907+8842+2944+9327+15234</f>
        <v>85819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319958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15809+26622+113930+769037+17675+116909</f>
        <v>1059982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505094</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48846</v>
      </c>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553940</v>
      </c>
      <c r="G162" s="41">
        <f>SUM(G150:G161)</f>
        <v>319958</v>
      </c>
      <c r="H162" s="41">
        <f>SUM(H150:H161)</f>
        <v>1324634</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553940</v>
      </c>
      <c r="G169" s="41">
        <f>G147+G162+SUM(G163:G168)</f>
        <v>319958</v>
      </c>
      <c r="H169" s="41">
        <f>H147+H162+SUM(H163:H168)</f>
        <v>1324634</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150000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150000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150000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71450711</v>
      </c>
      <c r="G193" s="47">
        <f>G112+G140+G169+G192</f>
        <v>1278123</v>
      </c>
      <c r="H193" s="47">
        <f>H112+H140+H169+H192</f>
        <v>1334734</v>
      </c>
      <c r="I193" s="47">
        <f>I112+I140+I169+I192</f>
        <v>0</v>
      </c>
      <c r="J193" s="47">
        <f>J112+J140+J192</f>
        <v>163402.47</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7780928.5199999996</v>
      </c>
      <c r="G197" s="18">
        <v>4520775.3676901897</v>
      </c>
      <c r="H197" s="18">
        <v>113442.73</v>
      </c>
      <c r="I197" s="18">
        <v>307790.38</v>
      </c>
      <c r="J197" s="18">
        <v>257210.15</v>
      </c>
      <c r="K197" s="18">
        <v>0</v>
      </c>
      <c r="L197" s="19">
        <f>SUM(F197:K197)</f>
        <v>12980147.147690192</v>
      </c>
      <c r="M197" s="8"/>
      <c r="N197" s="266"/>
    </row>
    <row r="198" spans="1:14" s="3" customFormat="1" ht="12.2" customHeight="1" x14ac:dyDescent="0.15">
      <c r="A198" s="1" t="s">
        <v>439</v>
      </c>
      <c r="B198" s="2" t="s">
        <v>341</v>
      </c>
      <c r="C198" s="2" t="s">
        <v>291</v>
      </c>
      <c r="D198" s="2" t="s">
        <v>431</v>
      </c>
      <c r="E198" s="6">
        <v>1200</v>
      </c>
      <c r="F198" s="18">
        <v>4295653.42</v>
      </c>
      <c r="G198" s="18">
        <v>2495805.4966517184</v>
      </c>
      <c r="H198" s="18">
        <v>1345047.98</v>
      </c>
      <c r="I198" s="18">
        <v>20487.02</v>
      </c>
      <c r="J198" s="18">
        <v>0</v>
      </c>
      <c r="K198" s="18">
        <v>0</v>
      </c>
      <c r="L198" s="19">
        <f>SUM(F198:K198)</f>
        <v>8156993.9166517183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0</v>
      </c>
      <c r="G200" s="18"/>
      <c r="H200" s="18">
        <v>5694.67</v>
      </c>
      <c r="I200" s="18">
        <v>0</v>
      </c>
      <c r="J200" s="18">
        <v>0</v>
      </c>
      <c r="K200" s="18">
        <v>0</v>
      </c>
      <c r="L200" s="19">
        <f>SUM(F200:K200)</f>
        <v>5694.67</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1422795.02</v>
      </c>
      <c r="G202" s="18">
        <v>826654.12786599807</v>
      </c>
      <c r="H202" s="18">
        <v>780021.42</v>
      </c>
      <c r="I202" s="18">
        <v>11697.17</v>
      </c>
      <c r="J202" s="18"/>
      <c r="K202" s="18">
        <v>0</v>
      </c>
      <c r="L202" s="19">
        <f t="shared" ref="L202:L208" si="0">SUM(F202:K202)</f>
        <v>3041167.7378659979</v>
      </c>
      <c r="M202" s="8"/>
      <c r="N202" s="266"/>
    </row>
    <row r="203" spans="1:14" s="3" customFormat="1" ht="12.2" customHeight="1" x14ac:dyDescent="0.15">
      <c r="A203" s="1" t="s">
        <v>443</v>
      </c>
      <c r="B203" s="2" t="s">
        <v>341</v>
      </c>
      <c r="C203" s="2" t="s">
        <v>295</v>
      </c>
      <c r="D203" s="2" t="s">
        <v>431</v>
      </c>
      <c r="E203" s="6">
        <v>2200</v>
      </c>
      <c r="F203" s="18">
        <v>408613.65</v>
      </c>
      <c r="G203" s="18">
        <v>237407.46609788682</v>
      </c>
      <c r="H203" s="18">
        <v>4206.92</v>
      </c>
      <c r="I203" s="18">
        <v>123199.86</v>
      </c>
      <c r="J203" s="18">
        <v>14708.82</v>
      </c>
      <c r="K203" s="18">
        <v>737</v>
      </c>
      <c r="L203" s="19">
        <f t="shared" si="0"/>
        <v>788873.71609788679</v>
      </c>
      <c r="M203" s="8"/>
      <c r="N203" s="266"/>
    </row>
    <row r="204" spans="1:14" s="3" customFormat="1" ht="12.2" customHeight="1" x14ac:dyDescent="0.15">
      <c r="A204" s="1" t="s">
        <v>444</v>
      </c>
      <c r="B204" s="2" t="s">
        <v>341</v>
      </c>
      <c r="C204" s="2" t="s">
        <v>296</v>
      </c>
      <c r="D204" s="2" t="s">
        <v>431</v>
      </c>
      <c r="E204" s="6">
        <v>2300</v>
      </c>
      <c r="F204" s="18">
        <v>553442.86</v>
      </c>
      <c r="G204" s="18">
        <v>321554.27754938568</v>
      </c>
      <c r="H204" s="18">
        <v>234541.62</v>
      </c>
      <c r="I204" s="18">
        <v>19146.32</v>
      </c>
      <c r="J204" s="18">
        <v>60758.69</v>
      </c>
      <c r="K204" s="18">
        <v>14104.16</v>
      </c>
      <c r="L204" s="19">
        <f t="shared" si="0"/>
        <v>1203547.9275493855</v>
      </c>
      <c r="M204" s="8"/>
      <c r="N204" s="266"/>
    </row>
    <row r="205" spans="1:14" s="3" customFormat="1" ht="12.2" customHeight="1" x14ac:dyDescent="0.15">
      <c r="A205" s="1" t="s">
        <v>445</v>
      </c>
      <c r="B205" s="2" t="s">
        <v>341</v>
      </c>
      <c r="C205" s="2" t="s">
        <v>297</v>
      </c>
      <c r="D205" s="2" t="s">
        <v>431</v>
      </c>
      <c r="E205" s="6">
        <v>2400</v>
      </c>
      <c r="F205" s="18">
        <v>1177083.5900000001</v>
      </c>
      <c r="G205" s="18">
        <v>683894.02186467324</v>
      </c>
      <c r="H205" s="18">
        <v>50222.92</v>
      </c>
      <c r="I205" s="18">
        <v>10293.75</v>
      </c>
      <c r="J205" s="18">
        <v>0</v>
      </c>
      <c r="K205" s="18">
        <f>7490.61+2970.64</f>
        <v>10461.25</v>
      </c>
      <c r="L205" s="19">
        <f t="shared" si="0"/>
        <v>1931955.5318646734</v>
      </c>
      <c r="M205" s="8"/>
      <c r="N205" s="266"/>
    </row>
    <row r="206" spans="1:14" s="3" customFormat="1" ht="12.2" customHeight="1" x14ac:dyDescent="0.15">
      <c r="A206" s="1" t="s">
        <v>446</v>
      </c>
      <c r="B206" s="2" t="s">
        <v>341</v>
      </c>
      <c r="C206" s="2" t="s">
        <v>298</v>
      </c>
      <c r="D206" s="2" t="s">
        <v>431</v>
      </c>
      <c r="E206" s="6">
        <v>2500</v>
      </c>
      <c r="F206" s="18">
        <v>152189.32</v>
      </c>
      <c r="G206" s="18">
        <v>88423.088235942298</v>
      </c>
      <c r="H206" s="18">
        <v>73889.240000000005</v>
      </c>
      <c r="I206" s="18">
        <v>0</v>
      </c>
      <c r="J206" s="18">
        <v>0</v>
      </c>
      <c r="K206" s="18">
        <v>3887.63</v>
      </c>
      <c r="L206" s="19">
        <f t="shared" si="0"/>
        <v>318389.2782359423</v>
      </c>
      <c r="M206" s="8"/>
      <c r="N206" s="266"/>
    </row>
    <row r="207" spans="1:14" s="3" customFormat="1" ht="12.2" customHeight="1" x14ac:dyDescent="0.15">
      <c r="A207" s="1" t="s">
        <v>447</v>
      </c>
      <c r="B207" s="2" t="s">
        <v>341</v>
      </c>
      <c r="C207" s="2" t="s">
        <v>299</v>
      </c>
      <c r="D207" s="2" t="s">
        <v>431</v>
      </c>
      <c r="E207" s="6">
        <v>2600</v>
      </c>
      <c r="F207" s="18">
        <v>1073004.21</v>
      </c>
      <c r="G207" s="18">
        <v>623423.15438670444</v>
      </c>
      <c r="H207" s="18">
        <v>471172.04</v>
      </c>
      <c r="I207" s="18">
        <v>517032.84</v>
      </c>
      <c r="J207" s="18">
        <v>5495.82</v>
      </c>
      <c r="K207" s="18">
        <v>0</v>
      </c>
      <c r="L207" s="19">
        <f t="shared" si="0"/>
        <v>2690128.064386704</v>
      </c>
      <c r="M207" s="8"/>
      <c r="N207" s="266"/>
    </row>
    <row r="208" spans="1:14" s="3" customFormat="1" ht="12.2" customHeight="1" x14ac:dyDescent="0.15">
      <c r="A208" s="1" t="s">
        <v>448</v>
      </c>
      <c r="B208" s="2" t="s">
        <v>341</v>
      </c>
      <c r="C208" s="2" t="s">
        <v>300</v>
      </c>
      <c r="D208" s="2" t="s">
        <v>431</v>
      </c>
      <c r="E208" s="6">
        <v>2700</v>
      </c>
      <c r="F208" s="18">
        <v>30218.400000000001</v>
      </c>
      <c r="G208" s="18">
        <v>17557.10748657658</v>
      </c>
      <c r="H208" s="18">
        <v>1417190.68</v>
      </c>
      <c r="I208" s="18">
        <v>0</v>
      </c>
      <c r="J208" s="18">
        <v>0</v>
      </c>
      <c r="K208" s="18">
        <v>0</v>
      </c>
      <c r="L208" s="19">
        <f t="shared" si="0"/>
        <v>1464966.1874865766</v>
      </c>
      <c r="M208" s="8"/>
      <c r="N208" s="266"/>
    </row>
    <row r="209" spans="1:14" s="3" customFormat="1" ht="12.2" customHeight="1" x14ac:dyDescent="0.15">
      <c r="A209" s="1" t="s">
        <v>449</v>
      </c>
      <c r="B209" s="2" t="s">
        <v>341</v>
      </c>
      <c r="C209" s="2" t="s">
        <v>343</v>
      </c>
      <c r="D209" s="2" t="s">
        <v>431</v>
      </c>
      <c r="E209" s="6">
        <v>2800</v>
      </c>
      <c r="F209" s="18">
        <v>54520.5</v>
      </c>
      <c r="G209" s="18">
        <v>31676.80217092561</v>
      </c>
      <c r="H209" s="18">
        <v>0</v>
      </c>
      <c r="I209" s="18">
        <v>0</v>
      </c>
      <c r="J209" s="18">
        <v>0</v>
      </c>
      <c r="K209" s="18">
        <v>0</v>
      </c>
      <c r="L209" s="19">
        <f>SUM(F209:K209)</f>
        <v>86197.302170925614</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16948449.489999998</v>
      </c>
      <c r="G211" s="41">
        <f t="shared" si="1"/>
        <v>9847170.9100000001</v>
      </c>
      <c r="H211" s="41">
        <f t="shared" si="1"/>
        <v>4495430.22</v>
      </c>
      <c r="I211" s="41">
        <f t="shared" si="1"/>
        <v>1009647.3400000001</v>
      </c>
      <c r="J211" s="41">
        <f t="shared" si="1"/>
        <v>338173.48</v>
      </c>
      <c r="K211" s="41">
        <f t="shared" si="1"/>
        <v>29190.04</v>
      </c>
      <c r="L211" s="41">
        <f t="shared" si="1"/>
        <v>32668061.480000004</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2613613.2799999998</v>
      </c>
      <c r="G215" s="18">
        <v>1564096.8895896119</v>
      </c>
      <c r="H215" s="18">
        <v>9361.19</v>
      </c>
      <c r="I215" s="18">
        <v>99727.91</v>
      </c>
      <c r="J215" s="18">
        <v>56062.65</v>
      </c>
      <c r="K215" s="18">
        <v>0</v>
      </c>
      <c r="L215" s="19">
        <f>SUM(F215:K215)</f>
        <v>4342861.9195896117</v>
      </c>
      <c r="M215" s="8"/>
      <c r="N215" s="266"/>
    </row>
    <row r="216" spans="1:14" s="3" customFormat="1" ht="12.2" customHeight="1" x14ac:dyDescent="0.15">
      <c r="A216" s="1" t="s">
        <v>439</v>
      </c>
      <c r="B216" s="2" t="s">
        <v>346</v>
      </c>
      <c r="C216" s="2" t="s">
        <v>291</v>
      </c>
      <c r="D216" s="2" t="s">
        <v>431</v>
      </c>
      <c r="E216" s="6">
        <v>1200</v>
      </c>
      <c r="F216" s="18">
        <v>1264494.8600000001</v>
      </c>
      <c r="G216" s="18">
        <v>756727.28347479634</v>
      </c>
      <c r="H216" s="18">
        <v>950123.41</v>
      </c>
      <c r="I216" s="18">
        <v>936.38</v>
      </c>
      <c r="J216" s="18">
        <v>0</v>
      </c>
      <c r="K216" s="18">
        <v>0</v>
      </c>
      <c r="L216" s="19">
        <f>SUM(F216:K216)</f>
        <v>2972281.9334747964</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v>39230</v>
      </c>
      <c r="G218" s="18">
        <v>23476.893635389119</v>
      </c>
      <c r="H218" s="18">
        <v>7284.5</v>
      </c>
      <c r="I218" s="18">
        <v>8152.37</v>
      </c>
      <c r="J218" s="18">
        <v>0</v>
      </c>
      <c r="K218" s="18">
        <v>0</v>
      </c>
      <c r="L218" s="19">
        <f>SUM(F218:K218)</f>
        <v>78143.763635389114</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344481.05</v>
      </c>
      <c r="G220" s="18">
        <v>206152.05124285395</v>
      </c>
      <c r="H220" s="18">
        <v>230696.94</v>
      </c>
      <c r="I220" s="18">
        <v>694.06</v>
      </c>
      <c r="J220" s="18">
        <v>0</v>
      </c>
      <c r="K220" s="18">
        <v>0</v>
      </c>
      <c r="L220" s="19">
        <f t="shared" ref="L220:L226" si="2">SUM(F220:K220)</f>
        <v>782024.10124285403</v>
      </c>
      <c r="M220" s="8"/>
      <c r="N220" s="266"/>
    </row>
    <row r="221" spans="1:14" s="3" customFormat="1" ht="12.2" customHeight="1" x14ac:dyDescent="0.15">
      <c r="A221" s="1" t="s">
        <v>443</v>
      </c>
      <c r="B221" s="2" t="s">
        <v>346</v>
      </c>
      <c r="C221" s="2" t="s">
        <v>295</v>
      </c>
      <c r="D221" s="2" t="s">
        <v>431</v>
      </c>
      <c r="E221" s="6">
        <v>2200</v>
      </c>
      <c r="F221" s="18">
        <v>130756.37</v>
      </c>
      <c r="G221" s="18">
        <v>78250.150156502292</v>
      </c>
      <c r="H221" s="18">
        <v>1346.21</v>
      </c>
      <c r="I221" s="18">
        <v>39423.96</v>
      </c>
      <c r="J221" s="18">
        <v>4706.82</v>
      </c>
      <c r="K221" s="18">
        <v>235.84</v>
      </c>
      <c r="L221" s="19">
        <f t="shared" si="2"/>
        <v>254719.35015650227</v>
      </c>
      <c r="M221" s="8"/>
      <c r="N221" s="266"/>
    </row>
    <row r="222" spans="1:14" s="3" customFormat="1" ht="12.2" customHeight="1" x14ac:dyDescent="0.15">
      <c r="A222" s="1" t="s">
        <v>444</v>
      </c>
      <c r="B222" s="2" t="s">
        <v>346</v>
      </c>
      <c r="C222" s="2" t="s">
        <v>296</v>
      </c>
      <c r="D222" s="2" t="s">
        <v>431</v>
      </c>
      <c r="E222" s="6">
        <v>2300</v>
      </c>
      <c r="F222" s="18">
        <v>177101.71</v>
      </c>
      <c r="G222" s="18">
        <v>105985.16462695715</v>
      </c>
      <c r="H222" s="18">
        <v>75053.320000000007</v>
      </c>
      <c r="I222" s="18">
        <v>6126.82</v>
      </c>
      <c r="J222" s="18">
        <v>19442.78</v>
      </c>
      <c r="K222" s="18">
        <v>4513.33</v>
      </c>
      <c r="L222" s="19">
        <f t="shared" si="2"/>
        <v>388223.12462695717</v>
      </c>
      <c r="M222" s="8"/>
      <c r="N222" s="266"/>
    </row>
    <row r="223" spans="1:14" s="3" customFormat="1" ht="12.2" customHeight="1" x14ac:dyDescent="0.15">
      <c r="A223" s="1" t="s">
        <v>445</v>
      </c>
      <c r="B223" s="2" t="s">
        <v>346</v>
      </c>
      <c r="C223" s="2" t="s">
        <v>297</v>
      </c>
      <c r="D223" s="2" t="s">
        <v>431</v>
      </c>
      <c r="E223" s="6">
        <v>2400</v>
      </c>
      <c r="F223" s="18">
        <v>272978.62</v>
      </c>
      <c r="G223" s="18">
        <v>163361.9685565971</v>
      </c>
      <c r="H223" s="18">
        <v>12675.94</v>
      </c>
      <c r="I223" s="18">
        <v>5012.6400000000003</v>
      </c>
      <c r="J223" s="18">
        <v>0</v>
      </c>
      <c r="K223" s="18">
        <v>3792.72</v>
      </c>
      <c r="L223" s="19">
        <f t="shared" si="2"/>
        <v>457821.88855659711</v>
      </c>
      <c r="M223" s="8"/>
      <c r="N223" s="266"/>
    </row>
    <row r="224" spans="1:14" s="3" customFormat="1" ht="12.2" customHeight="1" x14ac:dyDescent="0.15">
      <c r="A224" s="1" t="s">
        <v>446</v>
      </c>
      <c r="B224" s="2" t="s">
        <v>346</v>
      </c>
      <c r="C224" s="2" t="s">
        <v>298</v>
      </c>
      <c r="D224" s="2" t="s">
        <v>431</v>
      </c>
      <c r="E224" s="6">
        <v>2500</v>
      </c>
      <c r="F224" s="18">
        <v>46786.94</v>
      </c>
      <c r="G224" s="18">
        <v>27999.286614971519</v>
      </c>
      <c r="H224" s="18">
        <v>23644.560000000001</v>
      </c>
      <c r="I224" s="18">
        <v>0</v>
      </c>
      <c r="J224" s="18">
        <v>0</v>
      </c>
      <c r="K224" s="18">
        <v>1244.04</v>
      </c>
      <c r="L224" s="19">
        <f t="shared" si="2"/>
        <v>99674.82661497152</v>
      </c>
      <c r="M224" s="8"/>
      <c r="N224" s="266"/>
    </row>
    <row r="225" spans="1:14" s="3" customFormat="1" ht="12.2" customHeight="1" x14ac:dyDescent="0.15">
      <c r="A225" s="1" t="s">
        <v>447</v>
      </c>
      <c r="B225" s="2" t="s">
        <v>346</v>
      </c>
      <c r="C225" s="2" t="s">
        <v>299</v>
      </c>
      <c r="D225" s="2" t="s">
        <v>431</v>
      </c>
      <c r="E225" s="6">
        <v>2600</v>
      </c>
      <c r="F225" s="18">
        <v>348934.81</v>
      </c>
      <c r="G225" s="18">
        <v>208817.36987139209</v>
      </c>
      <c r="H225" s="18">
        <v>150681.94</v>
      </c>
      <c r="I225" s="18">
        <v>288425.19</v>
      </c>
      <c r="J225" s="18">
        <v>1758.66</v>
      </c>
      <c r="K225" s="18">
        <v>0</v>
      </c>
      <c r="L225" s="19">
        <f t="shared" si="2"/>
        <v>998617.96987139212</v>
      </c>
      <c r="M225" s="8"/>
      <c r="N225" s="266"/>
    </row>
    <row r="226" spans="1:14" s="3" customFormat="1" ht="12.2" customHeight="1" x14ac:dyDescent="0.15">
      <c r="A226" s="1" t="s">
        <v>448</v>
      </c>
      <c r="B226" s="2" t="s">
        <v>346</v>
      </c>
      <c r="C226" s="2" t="s">
        <v>300</v>
      </c>
      <c r="D226" s="2" t="s">
        <v>431</v>
      </c>
      <c r="E226" s="6">
        <v>2700</v>
      </c>
      <c r="F226" s="18">
        <v>9669.89</v>
      </c>
      <c r="G226" s="18">
        <v>5786.8717562047632</v>
      </c>
      <c r="H226" s="18">
        <v>519219.81</v>
      </c>
      <c r="I226" s="18">
        <v>0</v>
      </c>
      <c r="J226" s="18">
        <v>0</v>
      </c>
      <c r="K226" s="18">
        <v>0</v>
      </c>
      <c r="L226" s="19">
        <f t="shared" si="2"/>
        <v>534676.57175620471</v>
      </c>
      <c r="M226" s="8"/>
      <c r="N226" s="266"/>
    </row>
    <row r="227" spans="1:14" s="3" customFormat="1" ht="12.2" customHeight="1" x14ac:dyDescent="0.15">
      <c r="A227" s="1" t="s">
        <v>449</v>
      </c>
      <c r="B227" s="2" t="s">
        <v>346</v>
      </c>
      <c r="C227" s="2" t="s">
        <v>343</v>
      </c>
      <c r="D227" s="2" t="s">
        <v>431</v>
      </c>
      <c r="E227" s="6">
        <v>2800</v>
      </c>
      <c r="F227" s="18">
        <v>17446.560000000001</v>
      </c>
      <c r="G227" s="18">
        <v>10440.760474724304</v>
      </c>
      <c r="H227" s="18">
        <v>0</v>
      </c>
      <c r="I227" s="18">
        <v>0</v>
      </c>
      <c r="J227" s="18">
        <v>0</v>
      </c>
      <c r="K227" s="18">
        <v>0</v>
      </c>
      <c r="L227" s="19">
        <f>SUM(F227:K227)</f>
        <v>27887.320474724307</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5265494.0899999989</v>
      </c>
      <c r="G229" s="41">
        <f>SUM(G215:G228)</f>
        <v>3151094.69</v>
      </c>
      <c r="H229" s="41">
        <f>SUM(H215:H228)</f>
        <v>1980087.82</v>
      </c>
      <c r="I229" s="41">
        <f>SUM(I215:I228)</f>
        <v>448499.33</v>
      </c>
      <c r="J229" s="41">
        <f>SUM(J215:J228)</f>
        <v>81970.91</v>
      </c>
      <c r="K229" s="41">
        <f t="shared" si="3"/>
        <v>9785.93</v>
      </c>
      <c r="L229" s="41">
        <f t="shared" si="3"/>
        <v>10936932.770000003</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5524213.7300000004</v>
      </c>
      <c r="G233" s="18">
        <v>3518266.0925313346</v>
      </c>
      <c r="H233" s="18">
        <v>124768.81</v>
      </c>
      <c r="I233" s="18">
        <v>316910.18</v>
      </c>
      <c r="J233" s="18">
        <v>140996.10999999999</v>
      </c>
      <c r="K233" s="18">
        <v>0</v>
      </c>
      <c r="L233" s="19">
        <f>SUM(F233:K233)</f>
        <v>9625154.9225313347</v>
      </c>
      <c r="M233" s="8"/>
      <c r="N233" s="266"/>
    </row>
    <row r="234" spans="1:14" s="3" customFormat="1" ht="12.2" customHeight="1" x14ac:dyDescent="0.15">
      <c r="A234" s="1" t="s">
        <v>439</v>
      </c>
      <c r="B234" s="2" t="s">
        <v>350</v>
      </c>
      <c r="C234" s="2" t="s">
        <v>291</v>
      </c>
      <c r="D234" s="2" t="s">
        <v>431</v>
      </c>
      <c r="E234" s="6">
        <v>1200</v>
      </c>
      <c r="F234" s="18">
        <v>2063777.08</v>
      </c>
      <c r="G234" s="18">
        <v>1314380.1594199594</v>
      </c>
      <c r="H234" s="18">
        <v>2572901.0299999998</v>
      </c>
      <c r="I234" s="18">
        <v>1989.82</v>
      </c>
      <c r="J234" s="18">
        <v>0</v>
      </c>
      <c r="K234" s="18">
        <v>0</v>
      </c>
      <c r="L234" s="19">
        <f>SUM(F234:K234)</f>
        <v>5953048.0894199591</v>
      </c>
      <c r="M234" s="8"/>
      <c r="N234" s="266"/>
    </row>
    <row r="235" spans="1:14" s="3" customFormat="1" ht="12.2" customHeight="1" x14ac:dyDescent="0.15">
      <c r="A235" s="1" t="s">
        <v>440</v>
      </c>
      <c r="B235" s="2" t="s">
        <v>350</v>
      </c>
      <c r="C235" s="2" t="s">
        <v>292</v>
      </c>
      <c r="D235" s="2" t="s">
        <v>431</v>
      </c>
      <c r="E235" s="6">
        <v>1300</v>
      </c>
      <c r="F235" s="18"/>
      <c r="G235" s="18"/>
      <c r="H235" s="18">
        <v>40358.04</v>
      </c>
      <c r="I235" s="18"/>
      <c r="J235" s="18"/>
      <c r="K235" s="18"/>
      <c r="L235" s="19">
        <f>SUM(F235:K235)</f>
        <v>40358.04</v>
      </c>
      <c r="M235" s="8"/>
      <c r="N235" s="266"/>
    </row>
    <row r="236" spans="1:14" s="3" customFormat="1" ht="12.2" customHeight="1" x14ac:dyDescent="0.15">
      <c r="A236" s="1" t="s">
        <v>441</v>
      </c>
      <c r="B236" s="2" t="s">
        <v>350</v>
      </c>
      <c r="C236" s="2" t="s">
        <v>293</v>
      </c>
      <c r="D236" s="2" t="s">
        <v>431</v>
      </c>
      <c r="E236" s="6">
        <v>1400</v>
      </c>
      <c r="F236" s="18">
        <v>373728.67</v>
      </c>
      <c r="G236" s="18">
        <v>238020.64361254041</v>
      </c>
      <c r="H236" s="18">
        <v>70301.27</v>
      </c>
      <c r="I236" s="18">
        <v>101935.44</v>
      </c>
      <c r="J236" s="18">
        <v>23750</v>
      </c>
      <c r="K236" s="18">
        <v>19978</v>
      </c>
      <c r="L236" s="19">
        <f>SUM(F236:K236)</f>
        <v>827714.02361254045</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694921.43</v>
      </c>
      <c r="G238" s="18">
        <v>442582.1707195944</v>
      </c>
      <c r="H238" s="18">
        <v>379042.61</v>
      </c>
      <c r="I238" s="18">
        <v>1930.27</v>
      </c>
      <c r="J238" s="18">
        <v>0</v>
      </c>
      <c r="K238" s="18">
        <v>0</v>
      </c>
      <c r="L238" s="19">
        <f t="shared" ref="L238:L244" si="4">SUM(F238:K238)</f>
        <v>1518476.4807195943</v>
      </c>
      <c r="M238" s="8"/>
      <c r="N238" s="266"/>
    </row>
    <row r="239" spans="1:14" s="3" customFormat="1" ht="12.2" customHeight="1" x14ac:dyDescent="0.15">
      <c r="A239" s="1" t="s">
        <v>443</v>
      </c>
      <c r="B239" s="2" t="s">
        <v>350</v>
      </c>
      <c r="C239" s="2" t="s">
        <v>295</v>
      </c>
      <c r="D239" s="2" t="s">
        <v>431</v>
      </c>
      <c r="E239" s="6">
        <v>2200</v>
      </c>
      <c r="F239" s="18">
        <v>277857.28000000003</v>
      </c>
      <c r="G239" s="18">
        <v>176961.98854112494</v>
      </c>
      <c r="H239" s="18"/>
      <c r="I239" s="18">
        <v>83775.899999999994</v>
      </c>
      <c r="J239" s="18">
        <v>10001.99</v>
      </c>
      <c r="K239" s="18">
        <v>501.16</v>
      </c>
      <c r="L239" s="19">
        <f t="shared" si="4"/>
        <v>549098.31854112505</v>
      </c>
      <c r="M239" s="8"/>
      <c r="N239" s="266"/>
    </row>
    <row r="240" spans="1:14" s="3" customFormat="1" ht="12.2" customHeight="1" x14ac:dyDescent="0.15">
      <c r="A240" s="1" t="s">
        <v>444</v>
      </c>
      <c r="B240" s="2" t="s">
        <v>350</v>
      </c>
      <c r="C240" s="2" t="s">
        <v>296</v>
      </c>
      <c r="D240" s="2" t="s">
        <v>431</v>
      </c>
      <c r="E240" s="6">
        <v>2300</v>
      </c>
      <c r="F240" s="18">
        <v>376341.14</v>
      </c>
      <c r="G240" s="18">
        <v>239684.47580079202</v>
      </c>
      <c r="H240" s="18">
        <v>159488.29999999999</v>
      </c>
      <c r="I240" s="18">
        <v>13019.5</v>
      </c>
      <c r="J240" s="18">
        <v>41315.910000000003</v>
      </c>
      <c r="K240" s="18">
        <v>9590.83</v>
      </c>
      <c r="L240" s="19">
        <f t="shared" si="4"/>
        <v>839440.15580079192</v>
      </c>
      <c r="M240" s="8"/>
      <c r="N240" s="266"/>
    </row>
    <row r="241" spans="1:14" s="3" customFormat="1" ht="12.2" customHeight="1" x14ac:dyDescent="0.15">
      <c r="A241" s="1" t="s">
        <v>445</v>
      </c>
      <c r="B241" s="2" t="s">
        <v>350</v>
      </c>
      <c r="C241" s="2" t="s">
        <v>297</v>
      </c>
      <c r="D241" s="2" t="s">
        <v>431</v>
      </c>
      <c r="E241" s="6">
        <v>2400</v>
      </c>
      <c r="F241" s="18">
        <v>504173.97</v>
      </c>
      <c r="G241" s="18">
        <v>321098.76085259835</v>
      </c>
      <c r="H241" s="18">
        <v>98677.22</v>
      </c>
      <c r="I241" s="18">
        <v>6937.42</v>
      </c>
      <c r="J241" s="18">
        <v>0</v>
      </c>
      <c r="K241" s="18">
        <v>47475.040000000001</v>
      </c>
      <c r="L241" s="19">
        <f t="shared" si="4"/>
        <v>978362.41085259838</v>
      </c>
      <c r="M241" s="8"/>
      <c r="N241" s="266"/>
    </row>
    <row r="242" spans="1:14" s="3" customFormat="1" ht="12.2" customHeight="1" x14ac:dyDescent="0.15">
      <c r="A242" s="1" t="s">
        <v>446</v>
      </c>
      <c r="B242" s="2" t="s">
        <v>350</v>
      </c>
      <c r="C242" s="2" t="s">
        <v>298</v>
      </c>
      <c r="D242" s="2" t="s">
        <v>431</v>
      </c>
      <c r="E242" s="6">
        <v>2500</v>
      </c>
      <c r="F242" s="18">
        <v>163512.99</v>
      </c>
      <c r="G242" s="18">
        <v>104138.2966921186</v>
      </c>
      <c r="H242" s="18">
        <v>50244.68</v>
      </c>
      <c r="I242" s="18">
        <v>0</v>
      </c>
      <c r="J242" s="18">
        <v>0</v>
      </c>
      <c r="K242" s="18">
        <v>2643.59</v>
      </c>
      <c r="L242" s="19">
        <f t="shared" si="4"/>
        <v>320539.55669211864</v>
      </c>
      <c r="M242" s="8"/>
      <c r="N242" s="266"/>
    </row>
    <row r="243" spans="1:14" s="3" customFormat="1" ht="12.2" customHeight="1" x14ac:dyDescent="0.15">
      <c r="A243" s="1" t="s">
        <v>447</v>
      </c>
      <c r="B243" s="2" t="s">
        <v>350</v>
      </c>
      <c r="C243" s="2" t="s">
        <v>299</v>
      </c>
      <c r="D243" s="2" t="s">
        <v>431</v>
      </c>
      <c r="E243" s="6">
        <v>2600</v>
      </c>
      <c r="F243" s="18">
        <v>470588.23</v>
      </c>
      <c r="G243" s="18">
        <v>299708.64526151068</v>
      </c>
      <c r="H243" s="18">
        <v>319792.90999999997</v>
      </c>
      <c r="I243" s="18">
        <v>330696.65000000002</v>
      </c>
      <c r="J243" s="18">
        <v>3737.15</v>
      </c>
      <c r="K243" s="18">
        <v>0</v>
      </c>
      <c r="L243" s="19">
        <f t="shared" si="4"/>
        <v>1424523.5852615107</v>
      </c>
      <c r="M243" s="8"/>
      <c r="N243" s="266"/>
    </row>
    <row r="244" spans="1:14" s="3" customFormat="1" ht="12.2" customHeight="1" x14ac:dyDescent="0.15">
      <c r="A244" s="1" t="s">
        <v>448</v>
      </c>
      <c r="B244" s="2" t="s">
        <v>350</v>
      </c>
      <c r="C244" s="2" t="s">
        <v>300</v>
      </c>
      <c r="D244" s="2" t="s">
        <v>431</v>
      </c>
      <c r="E244" s="6">
        <v>2700</v>
      </c>
      <c r="F244" s="18">
        <v>20548.509999999998</v>
      </c>
      <c r="G244" s="18">
        <v>13086.953097493759</v>
      </c>
      <c r="H244" s="18">
        <v>1612593.25</v>
      </c>
      <c r="I244" s="18">
        <v>0</v>
      </c>
      <c r="J244" s="18">
        <v>0</v>
      </c>
      <c r="K244" s="18">
        <v>0</v>
      </c>
      <c r="L244" s="19">
        <f t="shared" si="4"/>
        <v>1646228.7130974939</v>
      </c>
      <c r="M244" s="8"/>
      <c r="N244" s="266"/>
    </row>
    <row r="245" spans="1:14" s="3" customFormat="1" ht="12.2" customHeight="1" x14ac:dyDescent="0.15">
      <c r="A245" s="1" t="s">
        <v>449</v>
      </c>
      <c r="B245" s="2" t="s">
        <v>350</v>
      </c>
      <c r="C245" s="2" t="s">
        <v>343</v>
      </c>
      <c r="D245" s="2" t="s">
        <v>431</v>
      </c>
      <c r="E245" s="6">
        <v>2800</v>
      </c>
      <c r="F245" s="18">
        <v>37073.94</v>
      </c>
      <c r="G245" s="18">
        <v>23611.683470932821</v>
      </c>
      <c r="H245" s="18">
        <v>0</v>
      </c>
      <c r="I245" s="18">
        <v>0</v>
      </c>
      <c r="J245" s="18">
        <v>0</v>
      </c>
      <c r="K245" s="18">
        <v>0</v>
      </c>
      <c r="L245" s="19">
        <f>SUM(F245:K245)</f>
        <v>60685.623470932827</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10506736.970000001</v>
      </c>
      <c r="G247" s="41">
        <f t="shared" si="5"/>
        <v>6691539.8700000001</v>
      </c>
      <c r="H247" s="41">
        <f t="shared" si="5"/>
        <v>5428168.1200000001</v>
      </c>
      <c r="I247" s="41">
        <f t="shared" si="5"/>
        <v>857195.18</v>
      </c>
      <c r="J247" s="41">
        <f t="shared" si="5"/>
        <v>219801.15999999997</v>
      </c>
      <c r="K247" s="41">
        <f t="shared" si="5"/>
        <v>80188.62</v>
      </c>
      <c r="L247" s="41">
        <f t="shared" si="5"/>
        <v>23783629.920000006</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v>20471.3</v>
      </c>
      <c r="G251" s="18">
        <v>4536.3500000000004</v>
      </c>
      <c r="H251" s="18"/>
      <c r="I251" s="18">
        <v>1602.6</v>
      </c>
      <c r="J251" s="18"/>
      <c r="K251" s="18"/>
      <c r="L251" s="19">
        <f t="shared" si="6"/>
        <v>26610.25</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2302942.4500000002</v>
      </c>
      <c r="I255" s="18"/>
      <c r="J255" s="18"/>
      <c r="K255" s="18"/>
      <c r="L255" s="19">
        <f t="shared" si="6"/>
        <v>2302942.4500000002</v>
      </c>
      <c r="M255" s="8"/>
      <c r="N255" s="266"/>
    </row>
    <row r="256" spans="1:14" s="3" customFormat="1" ht="12.2" customHeight="1" thickTop="1" thickBot="1" x14ac:dyDescent="0.2">
      <c r="A256" s="38" t="s">
        <v>461</v>
      </c>
      <c r="B256" s="40">
        <v>10</v>
      </c>
      <c r="C256" s="40">
        <v>7</v>
      </c>
      <c r="D256" s="39" t="s">
        <v>431</v>
      </c>
      <c r="E256" s="40"/>
      <c r="F256" s="41">
        <f t="shared" ref="F256:K256" si="7">SUM(F250:F255)</f>
        <v>20471.3</v>
      </c>
      <c r="G256" s="41">
        <f t="shared" si="7"/>
        <v>4536.3500000000004</v>
      </c>
      <c r="H256" s="41">
        <f t="shared" si="7"/>
        <v>2302942.4500000002</v>
      </c>
      <c r="I256" s="41">
        <f t="shared" si="7"/>
        <v>1602.6</v>
      </c>
      <c r="J256" s="41">
        <f t="shared" si="7"/>
        <v>0</v>
      </c>
      <c r="K256" s="41">
        <f t="shared" si="7"/>
        <v>0</v>
      </c>
      <c r="L256" s="41">
        <f>SUM(F256:K256)</f>
        <v>2329552.7000000002</v>
      </c>
      <c r="M256" s="8"/>
      <c r="N256" s="266"/>
    </row>
    <row r="257" spans="1:14" s="3" customFormat="1" ht="12.2" customHeight="1" thickTop="1" x14ac:dyDescent="0.15">
      <c r="A257" s="38" t="s">
        <v>462</v>
      </c>
      <c r="B257" s="40">
        <v>10</v>
      </c>
      <c r="C257" s="40">
        <v>8</v>
      </c>
      <c r="D257" s="39" t="s">
        <v>431</v>
      </c>
      <c r="E257" s="40"/>
      <c r="F257" s="41">
        <f t="shared" ref="F257:L257" si="8">F211+F229+F247+F256</f>
        <v>32741151.849999998</v>
      </c>
      <c r="G257" s="41">
        <f t="shared" si="8"/>
        <v>19694341.82</v>
      </c>
      <c r="H257" s="41">
        <f t="shared" si="8"/>
        <v>14206628.609999999</v>
      </c>
      <c r="I257" s="41">
        <f t="shared" si="8"/>
        <v>2316944.4500000002</v>
      </c>
      <c r="J257" s="41">
        <f t="shared" si="8"/>
        <v>639945.55000000005</v>
      </c>
      <c r="K257" s="41">
        <f t="shared" si="8"/>
        <v>119164.59</v>
      </c>
      <c r="L257" s="41">
        <f t="shared" si="8"/>
        <v>69718176.87000002</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1070000</v>
      </c>
      <c r="L260" s="19">
        <f>SUM(F260:K260)</f>
        <v>1070000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205435.25</v>
      </c>
      <c r="L261" s="19">
        <f>SUM(F261:K261)</f>
        <v>205435.25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150000</v>
      </c>
      <c r="L266" s="19">
        <f t="shared" si="9"/>
        <v>150000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1425435.25</v>
      </c>
      <c r="L270" s="41">
        <f t="shared" si="9"/>
        <v>1425435.25</v>
      </c>
      <c r="N270" s="264"/>
    </row>
    <row r="271" spans="1:14" s="3" customFormat="1" ht="12.2" customHeight="1" thickTop="1" x14ac:dyDescent="0.2">
      <c r="A271" s="43" t="s">
        <v>464</v>
      </c>
      <c r="B271" s="40">
        <v>10</v>
      </c>
      <c r="C271" s="40">
        <v>18</v>
      </c>
      <c r="D271" s="39" t="s">
        <v>431</v>
      </c>
      <c r="E271" s="40"/>
      <c r="F271" s="42">
        <f t="shared" ref="F271:L271" si="11">F257+F270</f>
        <v>32741151.849999998</v>
      </c>
      <c r="G271" s="42">
        <f t="shared" si="11"/>
        <v>19694341.82</v>
      </c>
      <c r="H271" s="42">
        <f t="shared" si="11"/>
        <v>14206628.609999999</v>
      </c>
      <c r="I271" s="42">
        <f t="shared" si="11"/>
        <v>2316944.4500000002</v>
      </c>
      <c r="J271" s="42">
        <f t="shared" si="11"/>
        <v>639945.55000000005</v>
      </c>
      <c r="K271" s="42">
        <f t="shared" si="11"/>
        <v>1544599.84</v>
      </c>
      <c r="L271" s="42">
        <f t="shared" si="11"/>
        <v>71143612.12000002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2735+112154+41636+393+72916+41846+21315</f>
        <v>292995</v>
      </c>
      <c r="G276" s="18">
        <v>30</v>
      </c>
      <c r="H276" s="18"/>
      <c r="I276" s="18">
        <f>209+6773+671+793</f>
        <v>8446</v>
      </c>
      <c r="J276" s="18"/>
      <c r="K276" s="18"/>
      <c r="L276" s="19">
        <f>SUM(F276:K276)</f>
        <v>301471</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17595+47083</f>
        <v>64678</v>
      </c>
      <c r="G281" s="18"/>
      <c r="H281" s="18">
        <f>25000+208757+246122+16898</f>
        <v>496777</v>
      </c>
      <c r="I281" s="18">
        <f>163+98+915</f>
        <v>1176</v>
      </c>
      <c r="J281" s="18"/>
      <c r="K281" s="18"/>
      <c r="L281" s="19">
        <f t="shared" ref="L281:L287" si="12">SUM(F281:K281)</f>
        <v>562631</v>
      </c>
      <c r="M281" s="8"/>
      <c r="N281" s="266"/>
    </row>
    <row r="282" spans="1:14" s="3" customFormat="1" ht="12.2" customHeight="1" x14ac:dyDescent="0.15">
      <c r="A282" s="1" t="s">
        <v>443</v>
      </c>
      <c r="B282" s="2" t="s">
        <v>357</v>
      </c>
      <c r="C282" s="2" t="s">
        <v>295</v>
      </c>
      <c r="D282" s="2" t="s">
        <v>431</v>
      </c>
      <c r="E282" s="6">
        <v>2200</v>
      </c>
      <c r="F282" s="18"/>
      <c r="G282" s="18"/>
      <c r="H282" s="18"/>
      <c r="I282" s="18">
        <f>44719+6905</f>
        <v>51624</v>
      </c>
      <c r="J282" s="18"/>
      <c r="K282" s="18"/>
      <c r="L282" s="19">
        <f t="shared" si="12"/>
        <v>51624</v>
      </c>
      <c r="M282" s="8"/>
      <c r="N282" s="266"/>
    </row>
    <row r="283" spans="1:14" s="3" customFormat="1" ht="12.2" customHeight="1" x14ac:dyDescent="0.15">
      <c r="A283" s="1" t="s">
        <v>444</v>
      </c>
      <c r="B283" s="2" t="s">
        <v>357</v>
      </c>
      <c r="C283" s="2" t="s">
        <v>296</v>
      </c>
      <c r="D283" s="2" t="s">
        <v>431</v>
      </c>
      <c r="E283" s="6">
        <v>2300</v>
      </c>
      <c r="F283" s="18"/>
      <c r="G283" s="18"/>
      <c r="H283" s="18"/>
      <c r="I283" s="18">
        <v>2528</v>
      </c>
      <c r="J283" s="18"/>
      <c r="K283" s="18"/>
      <c r="L283" s="19">
        <f t="shared" si="12"/>
        <v>2528</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357673</v>
      </c>
      <c r="G290" s="42">
        <f t="shared" si="13"/>
        <v>30</v>
      </c>
      <c r="H290" s="42">
        <f t="shared" si="13"/>
        <v>496777</v>
      </c>
      <c r="I290" s="42">
        <f t="shared" si="13"/>
        <v>63774</v>
      </c>
      <c r="J290" s="42">
        <f t="shared" si="13"/>
        <v>0</v>
      </c>
      <c r="K290" s="42">
        <f t="shared" si="13"/>
        <v>0</v>
      </c>
      <c r="L290" s="41">
        <f t="shared" si="13"/>
        <v>918254</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87</v>
      </c>
      <c r="G295" s="18"/>
      <c r="H295" s="18"/>
      <c r="I295" s="18"/>
      <c r="J295" s="18"/>
      <c r="K295" s="18"/>
      <c r="L295" s="19">
        <f>SUM(F295:K295)</f>
        <v>87</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v>7</v>
      </c>
      <c r="H298" s="18"/>
      <c r="I298" s="18"/>
      <c r="J298" s="18"/>
      <c r="K298" s="18"/>
      <c r="L298" s="19">
        <f>SUM(F298:K298)</f>
        <v>7</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26680</v>
      </c>
      <c r="G300" s="18"/>
      <c r="H300" s="18">
        <f>2499+680+22282+1000+587</f>
        <v>27048</v>
      </c>
      <c r="I300" s="18"/>
      <c r="J300" s="18"/>
      <c r="K300" s="18"/>
      <c r="L300" s="19">
        <f t="shared" ref="L300:L306" si="14">SUM(F300:K300)</f>
        <v>53728</v>
      </c>
      <c r="M300" s="8"/>
      <c r="N300" s="266"/>
    </row>
    <row r="301" spans="1:14" s="3" customFormat="1" ht="12.2" customHeight="1" x14ac:dyDescent="0.15">
      <c r="A301" s="1" t="s">
        <v>443</v>
      </c>
      <c r="B301" s="2" t="s">
        <v>358</v>
      </c>
      <c r="C301" s="2" t="s">
        <v>295</v>
      </c>
      <c r="D301" s="2" t="s">
        <v>431</v>
      </c>
      <c r="E301" s="6">
        <v>2200</v>
      </c>
      <c r="F301" s="18">
        <f>1430+1148</f>
        <v>2578</v>
      </c>
      <c r="G301" s="18">
        <f>109+98+222</f>
        <v>429</v>
      </c>
      <c r="H301" s="18">
        <f>15000+248</f>
        <v>15248</v>
      </c>
      <c r="I301" s="18">
        <f>3487+11850+7255</f>
        <v>22592</v>
      </c>
      <c r="J301" s="18">
        <f>11825</f>
        <v>11825</v>
      </c>
      <c r="K301" s="18"/>
      <c r="L301" s="19">
        <f t="shared" si="14"/>
        <v>52672</v>
      </c>
      <c r="M301" s="8"/>
      <c r="N301" s="266"/>
    </row>
    <row r="302" spans="1:14" s="3" customFormat="1" ht="12.2" customHeight="1" x14ac:dyDescent="0.15">
      <c r="A302" s="1" t="s">
        <v>444</v>
      </c>
      <c r="B302" s="2" t="s">
        <v>358</v>
      </c>
      <c r="C302" s="2" t="s">
        <v>296</v>
      </c>
      <c r="D302" s="2" t="s">
        <v>431</v>
      </c>
      <c r="E302" s="6">
        <v>2300</v>
      </c>
      <c r="F302" s="18">
        <f>70830</f>
        <v>70830</v>
      </c>
      <c r="G302" s="18">
        <f>44266</f>
        <v>44266</v>
      </c>
      <c r="H302" s="18"/>
      <c r="I302" s="18">
        <f>29289+1788+25</f>
        <v>31102</v>
      </c>
      <c r="J302" s="18"/>
      <c r="K302" s="18"/>
      <c r="L302" s="19">
        <f t="shared" si="14"/>
        <v>146198</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100175</v>
      </c>
      <c r="G309" s="42">
        <f t="shared" si="15"/>
        <v>44702</v>
      </c>
      <c r="H309" s="42">
        <f t="shared" si="15"/>
        <v>42296</v>
      </c>
      <c r="I309" s="42">
        <f t="shared" si="15"/>
        <v>53694</v>
      </c>
      <c r="J309" s="42">
        <f t="shared" si="15"/>
        <v>11825</v>
      </c>
      <c r="K309" s="42">
        <f t="shared" si="15"/>
        <v>0</v>
      </c>
      <c r="L309" s="41">
        <f t="shared" si="15"/>
        <v>252692</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5826</v>
      </c>
      <c r="G314" s="18"/>
      <c r="H314" s="18"/>
      <c r="I314" s="18"/>
      <c r="J314" s="18">
        <v>5327</v>
      </c>
      <c r="K314" s="18"/>
      <c r="L314" s="19">
        <f>SUM(F314:K314)</f>
        <v>11153</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f>15194+19045+1000+1</f>
        <v>35240</v>
      </c>
      <c r="I317" s="18"/>
      <c r="J317" s="18"/>
      <c r="K317" s="18"/>
      <c r="L317" s="19">
        <f>SUM(F317:K317)</f>
        <v>35240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1826</v>
      </c>
      <c r="G319" s="18">
        <f>140+317</f>
        <v>457</v>
      </c>
      <c r="H319" s="18"/>
      <c r="I319" s="18"/>
      <c r="J319" s="18"/>
      <c r="K319" s="18"/>
      <c r="L319" s="19">
        <f t="shared" ref="L319:L325" si="16">SUM(F319:K319)</f>
        <v>2283</v>
      </c>
      <c r="M319" s="8"/>
      <c r="N319" s="266"/>
    </row>
    <row r="320" spans="1:14" s="3" customFormat="1" ht="12.2" customHeight="1" x14ac:dyDescent="0.15">
      <c r="A320" s="1" t="s">
        <v>443</v>
      </c>
      <c r="B320" s="2" t="s">
        <v>359</v>
      </c>
      <c r="C320" s="2" t="s">
        <v>295</v>
      </c>
      <c r="D320" s="2" t="s">
        <v>431</v>
      </c>
      <c r="E320" s="6">
        <v>2200</v>
      </c>
      <c r="F320" s="18"/>
      <c r="G320" s="18"/>
      <c r="H320" s="18"/>
      <c r="I320" s="18">
        <f>13978+2270+1007+4000+14563</f>
        <v>35818</v>
      </c>
      <c r="J320" s="18"/>
      <c r="K320" s="18"/>
      <c r="L320" s="19">
        <f t="shared" si="16"/>
        <v>35818</v>
      </c>
      <c r="M320" s="8"/>
      <c r="N320" s="266"/>
    </row>
    <row r="321" spans="1:14" s="3" customFormat="1" ht="12.2" customHeight="1" x14ac:dyDescent="0.15">
      <c r="A321" s="1" t="s">
        <v>444</v>
      </c>
      <c r="B321" s="2" t="s">
        <v>359</v>
      </c>
      <c r="C321" s="2" t="s">
        <v>296</v>
      </c>
      <c r="D321" s="2" t="s">
        <v>431</v>
      </c>
      <c r="E321" s="6">
        <v>2300</v>
      </c>
      <c r="F321" s="18"/>
      <c r="G321" s="18"/>
      <c r="H321" s="18"/>
      <c r="I321" s="18">
        <f>16036+4037</f>
        <v>20073</v>
      </c>
      <c r="J321" s="18"/>
      <c r="K321" s="18"/>
      <c r="L321" s="19">
        <f t="shared" si="16"/>
        <v>20073</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7652</v>
      </c>
      <c r="G328" s="42">
        <f t="shared" si="17"/>
        <v>457</v>
      </c>
      <c r="H328" s="42">
        <f t="shared" si="17"/>
        <v>35240</v>
      </c>
      <c r="I328" s="42">
        <f t="shared" si="17"/>
        <v>55891</v>
      </c>
      <c r="J328" s="42">
        <f t="shared" si="17"/>
        <v>5327</v>
      </c>
      <c r="K328" s="42">
        <f t="shared" si="17"/>
        <v>0</v>
      </c>
      <c r="L328" s="41">
        <f t="shared" si="17"/>
        <v>104567</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v>1755</v>
      </c>
      <c r="J335" s="18"/>
      <c r="K335" s="18"/>
      <c r="L335" s="19">
        <f t="shared" si="18"/>
        <v>1755</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1755</v>
      </c>
      <c r="J337" s="41">
        <f t="shared" si="19"/>
        <v>0</v>
      </c>
      <c r="K337" s="41">
        <f t="shared" si="19"/>
        <v>0</v>
      </c>
      <c r="L337" s="41">
        <f t="shared" si="18"/>
        <v>1755</v>
      </c>
      <c r="M337" s="8"/>
      <c r="N337" s="266"/>
    </row>
    <row r="338" spans="1:43" s="3" customFormat="1" ht="12.2" customHeight="1" thickTop="1" x14ac:dyDescent="0.15">
      <c r="A338" s="38" t="s">
        <v>468</v>
      </c>
      <c r="B338" s="40">
        <v>14</v>
      </c>
      <c r="C338" s="40">
        <v>7</v>
      </c>
      <c r="D338" s="39" t="s">
        <v>431</v>
      </c>
      <c r="E338" s="40"/>
      <c r="F338" s="41">
        <f t="shared" ref="F338:L338" si="20">F290+F309+F328+F337</f>
        <v>465500</v>
      </c>
      <c r="G338" s="41">
        <f t="shared" si="20"/>
        <v>45189</v>
      </c>
      <c r="H338" s="41">
        <f t="shared" si="20"/>
        <v>574313</v>
      </c>
      <c r="I338" s="41">
        <f t="shared" si="20"/>
        <v>175114</v>
      </c>
      <c r="J338" s="41">
        <f t="shared" si="20"/>
        <v>17152</v>
      </c>
      <c r="K338" s="41">
        <f t="shared" si="20"/>
        <v>0</v>
      </c>
      <c r="L338" s="41">
        <f t="shared" si="20"/>
        <v>1277268</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f>615+586+23+3761+33820+777+7507+670+1362</f>
        <v>49121</v>
      </c>
      <c r="L344" s="19">
        <f t="shared" ref="L344:L350" si="21">SUM(F344:K344)</f>
        <v>49121</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49121</v>
      </c>
      <c r="L351" s="41">
        <f>SUM(L341:L350)</f>
        <v>49121</v>
      </c>
      <c r="M351" s="8"/>
      <c r="N351" s="266"/>
    </row>
    <row r="352" spans="1:43" s="12" customFormat="1" ht="12.2" customHeight="1" thickTop="1" thickBot="1" x14ac:dyDescent="0.25">
      <c r="A352" s="38" t="s">
        <v>469</v>
      </c>
      <c r="B352" s="40">
        <v>14</v>
      </c>
      <c r="C352" s="40">
        <v>17</v>
      </c>
      <c r="D352" s="39" t="s">
        <v>431</v>
      </c>
      <c r="E352" s="40"/>
      <c r="F352" s="41">
        <f>F338</f>
        <v>465500</v>
      </c>
      <c r="G352" s="41">
        <f>G338</f>
        <v>45189</v>
      </c>
      <c r="H352" s="41">
        <f>H338</f>
        <v>574313</v>
      </c>
      <c r="I352" s="41">
        <f>I338</f>
        <v>175114</v>
      </c>
      <c r="J352" s="41">
        <f>J338</f>
        <v>17152</v>
      </c>
      <c r="K352" s="47">
        <f>K338+K351</f>
        <v>49121</v>
      </c>
      <c r="L352" s="41">
        <f>L338+L351</f>
        <v>1326389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267310.34000000003</v>
      </c>
      <c r="G358" s="18"/>
      <c r="H358" s="18">
        <v>7354.25</v>
      </c>
      <c r="I358" s="18">
        <v>334745.34000000003</v>
      </c>
      <c r="J358" s="18">
        <v>1354.5</v>
      </c>
      <c r="K358" s="18">
        <v>80</v>
      </c>
      <c r="L358" s="13">
        <f>SUM(F358:K358)</f>
        <v>610844.43000000005</v>
      </c>
      <c r="N358" s="264"/>
      <c r="R358" s="3"/>
      <c r="S358" s="3"/>
      <c r="T358" s="3"/>
      <c r="U358" s="3"/>
      <c r="V358" s="3"/>
    </row>
    <row r="359" spans="1:22" s="3" customFormat="1" ht="12.2" customHeight="1" x14ac:dyDescent="0.15">
      <c r="A359" s="1" t="s">
        <v>542</v>
      </c>
      <c r="B359" s="2" t="s">
        <v>366</v>
      </c>
      <c r="C359" s="6">
        <v>2</v>
      </c>
      <c r="D359" s="2" t="s">
        <v>431</v>
      </c>
      <c r="E359" s="6"/>
      <c r="F359" s="18">
        <v>90997.41</v>
      </c>
      <c r="G359" s="18"/>
      <c r="H359" s="18">
        <v>2353.36</v>
      </c>
      <c r="I359" s="18">
        <v>107118.51</v>
      </c>
      <c r="J359" s="18">
        <v>433.44</v>
      </c>
      <c r="K359" s="18">
        <v>25.6</v>
      </c>
      <c r="L359" s="19">
        <f>SUM(F359:K359)</f>
        <v>200928.32</v>
      </c>
      <c r="M359" s="8"/>
      <c r="N359" s="266"/>
    </row>
    <row r="360" spans="1:22" s="3" customFormat="1" ht="12.2" customHeight="1" x14ac:dyDescent="0.15">
      <c r="A360" s="3" t="s">
        <v>543</v>
      </c>
      <c r="B360" s="2" t="s">
        <v>366</v>
      </c>
      <c r="C360" s="6">
        <v>3</v>
      </c>
      <c r="D360" s="2" t="s">
        <v>431</v>
      </c>
      <c r="E360" s="6"/>
      <c r="F360" s="18">
        <v>239983.96</v>
      </c>
      <c r="G360" s="18"/>
      <c r="H360" s="18">
        <v>5000.8900000000003</v>
      </c>
      <c r="I360" s="18">
        <v>227626.83</v>
      </c>
      <c r="J360" s="18">
        <v>921.06</v>
      </c>
      <c r="K360" s="18">
        <v>54.4</v>
      </c>
      <c r="L360" s="19">
        <f>SUM(F360:K360)</f>
        <v>473587.14</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598291.71</v>
      </c>
      <c r="G362" s="47">
        <f t="shared" si="22"/>
        <v>0</v>
      </c>
      <c r="H362" s="47">
        <f t="shared" si="22"/>
        <v>14708.5</v>
      </c>
      <c r="I362" s="47">
        <f t="shared" si="22"/>
        <v>669490.68000000005</v>
      </c>
      <c r="J362" s="47">
        <f t="shared" si="22"/>
        <v>2709</v>
      </c>
      <c r="K362" s="47">
        <f t="shared" si="22"/>
        <v>160</v>
      </c>
      <c r="L362" s="47">
        <f t="shared" si="22"/>
        <v>1285359.8900000001</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302348.26</v>
      </c>
      <c r="G367" s="18">
        <v>96751.44</v>
      </c>
      <c r="H367" s="18">
        <v>205596.82</v>
      </c>
      <c r="I367" s="56">
        <f>SUM(F367:H367)</f>
        <v>604696.52</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32397.08</v>
      </c>
      <c r="G368" s="63">
        <v>10367.07</v>
      </c>
      <c r="H368" s="63">
        <v>22030.01</v>
      </c>
      <c r="I368" s="56">
        <f>SUM(F368:H368)</f>
        <v>64794.16</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334745.34000000003</v>
      </c>
      <c r="G369" s="47">
        <f>SUM(G367:G368)</f>
        <v>107118.51000000001</v>
      </c>
      <c r="H369" s="47">
        <f>SUM(H367:H368)</f>
        <v>227626.83000000002</v>
      </c>
      <c r="I369" s="47">
        <f>SUM(I367:I368)</f>
        <v>669490.68000000005</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150000</v>
      </c>
      <c r="H396" s="18">
        <v>839.31</v>
      </c>
      <c r="I396" s="18"/>
      <c r="J396" s="24" t="s">
        <v>288</v>
      </c>
      <c r="K396" s="24" t="s">
        <v>288</v>
      </c>
      <c r="L396" s="56">
        <f t="shared" si="26"/>
        <v>150839.31</v>
      </c>
      <c r="M396" s="8"/>
      <c r="N396" s="266"/>
    </row>
    <row r="397" spans="1:14" s="3" customFormat="1" ht="12.2" customHeight="1" x14ac:dyDescent="0.15">
      <c r="A397" s="79" t="s">
        <v>515</v>
      </c>
      <c r="B397" s="2" t="s">
        <v>381</v>
      </c>
      <c r="C397" s="6">
        <v>10</v>
      </c>
      <c r="D397" s="2" t="s">
        <v>432</v>
      </c>
      <c r="E397" s="6"/>
      <c r="F397" s="18"/>
      <c r="G397" s="18"/>
      <c r="H397" s="18">
        <v>11027.09</v>
      </c>
      <c r="I397" s="18"/>
      <c r="J397" s="24" t="s">
        <v>288</v>
      </c>
      <c r="K397" s="24" t="s">
        <v>288</v>
      </c>
      <c r="L397" s="56">
        <f t="shared" si="26"/>
        <v>11027.09</v>
      </c>
      <c r="M397" s="8"/>
      <c r="N397" s="266"/>
    </row>
    <row r="398" spans="1:14" s="3" customFormat="1" ht="12.2" customHeight="1" x14ac:dyDescent="0.15">
      <c r="A398" s="79" t="s">
        <v>558</v>
      </c>
      <c r="B398" s="2" t="s">
        <v>381</v>
      </c>
      <c r="C398" s="6">
        <v>11</v>
      </c>
      <c r="D398" s="2" t="s">
        <v>432</v>
      </c>
      <c r="E398" s="6"/>
      <c r="F398" s="18"/>
      <c r="G398" s="18"/>
      <c r="H398" s="18">
        <v>1536.07</v>
      </c>
      <c r="I398" s="18"/>
      <c r="J398" s="24" t="s">
        <v>288</v>
      </c>
      <c r="K398" s="24" t="s">
        <v>288</v>
      </c>
      <c r="L398" s="56">
        <f t="shared" si="26"/>
        <v>1536.07</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150000</v>
      </c>
      <c r="H401" s="47">
        <f>SUM(H395:H400)</f>
        <v>13402.47</v>
      </c>
      <c r="I401" s="47">
        <f>SUM(I395:I400)</f>
        <v>0</v>
      </c>
      <c r="J401" s="45" t="s">
        <v>288</v>
      </c>
      <c r="K401" s="45" t="s">
        <v>288</v>
      </c>
      <c r="L401" s="47">
        <f>SUM(L395:L400)</f>
        <v>163402.47</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150000</v>
      </c>
      <c r="H408" s="47">
        <f>H393+H401+H407</f>
        <v>13402.47</v>
      </c>
      <c r="I408" s="47">
        <f>I393+I401+I407</f>
        <v>0</v>
      </c>
      <c r="J408" s="24" t="s">
        <v>288</v>
      </c>
      <c r="K408" s="24" t="s">
        <v>288</v>
      </c>
      <c r="L408" s="47">
        <f>L393+L401+L407</f>
        <v>163402.47</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768055.47</v>
      </c>
      <c r="G440" s="18"/>
      <c r="H440" s="18"/>
      <c r="I440" s="56">
        <f t="shared" si="33"/>
        <v>768055.47</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768055.47</v>
      </c>
      <c r="G446" s="13">
        <f>SUM(G439:G445)</f>
        <v>0</v>
      </c>
      <c r="H446" s="13">
        <f>SUM(H439:H445)</f>
        <v>0</v>
      </c>
      <c r="I446" s="13">
        <f>SUM(I439:I445)</f>
        <v>768055.47</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768055.47</v>
      </c>
      <c r="G459" s="18"/>
      <c r="H459" s="18"/>
      <c r="I459" s="56">
        <f t="shared" si="34"/>
        <v>768055.47</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768055.47</v>
      </c>
      <c r="G460" s="83">
        <f>SUM(G454:G459)</f>
        <v>0</v>
      </c>
      <c r="H460" s="83">
        <f>SUM(H454:H459)</f>
        <v>0</v>
      </c>
      <c r="I460" s="83">
        <f>SUM(I454:I459)</f>
        <v>768055.47</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768055.47</v>
      </c>
      <c r="G461" s="42">
        <f>G452+G460</f>
        <v>0</v>
      </c>
      <c r="H461" s="42">
        <f>H452+H460</f>
        <v>0</v>
      </c>
      <c r="I461" s="42">
        <f>I452+I460</f>
        <v>768055.47</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f>2919473+197786.19</f>
        <v>3117259.19</v>
      </c>
      <c r="G465" s="18">
        <v>39556</v>
      </c>
      <c r="H465" s="18"/>
      <c r="I465" s="18"/>
      <c r="J465" s="18">
        <v>604653</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71450711</v>
      </c>
      <c r="G468" s="18">
        <v>1278123</v>
      </c>
      <c r="H468" s="18">
        <v>1334734</v>
      </c>
      <c r="I468" s="18"/>
      <c r="J468" s="18">
        <f>150000+1536.07+758.92+22.3+58.09+8553.98+2473.11</f>
        <v>163402.47</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71450711</v>
      </c>
      <c r="G470" s="53">
        <f>SUM(G468:G469)</f>
        <v>1278123</v>
      </c>
      <c r="H470" s="53">
        <f>SUM(H468:H469)</f>
        <v>1334734</v>
      </c>
      <c r="I470" s="53">
        <f>SUM(I468:I469)</f>
        <v>0</v>
      </c>
      <c r="J470" s="53">
        <f>SUM(J468:J469)</f>
        <v>163402.47</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71143611.72+0.4</f>
        <v>71143612.120000005</v>
      </c>
      <c r="G472" s="18">
        <v>1285359.8899999999</v>
      </c>
      <c r="H472" s="18">
        <v>1326389</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71143612.120000005</v>
      </c>
      <c r="G474" s="53">
        <f>SUM(G472:G473)</f>
        <v>1285359.8899999999</v>
      </c>
      <c r="H474" s="53">
        <f>SUM(H472:H473)</f>
        <v>1326389</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3424358.0699999928</v>
      </c>
      <c r="G476" s="53">
        <f>(G465+G470)- G474</f>
        <v>32319.110000000102</v>
      </c>
      <c r="H476" s="53">
        <f>(H465+H470)- H474</f>
        <v>8345</v>
      </c>
      <c r="I476" s="53">
        <f>(I465+I470)- I474</f>
        <v>0</v>
      </c>
      <c r="J476" s="53">
        <f>(J465+J470)- J474</f>
        <v>768055.47</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v>20</v>
      </c>
      <c r="H490" s="154">
        <v>12</v>
      </c>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t="s">
        <v>1611</v>
      </c>
      <c r="H491" s="154" t="s">
        <v>1612</v>
      </c>
      <c r="I491" s="154"/>
      <c r="J491" s="154"/>
      <c r="K491" s="24" t="s">
        <v>288</v>
      </c>
      <c r="L491" s="24" t="s">
        <v>288</v>
      </c>
      <c r="N491" s="265"/>
    </row>
    <row r="492" spans="1:14" s="52" customFormat="1" ht="12.2" customHeight="1" x14ac:dyDescent="0.2">
      <c r="A492" s="22" t="s">
        <v>616</v>
      </c>
      <c r="B492" s="75">
        <v>20</v>
      </c>
      <c r="C492" s="115">
        <v>3</v>
      </c>
      <c r="D492" s="2" t="s">
        <v>432</v>
      </c>
      <c r="E492" s="115"/>
      <c r="F492" s="155" t="s">
        <v>1613</v>
      </c>
      <c r="G492" s="155" t="s">
        <v>1614</v>
      </c>
      <c r="H492" s="154" t="s">
        <v>1615</v>
      </c>
      <c r="I492" s="154"/>
      <c r="J492" s="154"/>
      <c r="K492" s="24" t="s">
        <v>288</v>
      </c>
      <c r="L492" s="24" t="s">
        <v>288</v>
      </c>
      <c r="N492" s="265"/>
    </row>
    <row r="493" spans="1:14" s="52" customFormat="1" ht="12.2" customHeight="1" x14ac:dyDescent="0.2">
      <c r="A493" s="22" t="s">
        <v>617</v>
      </c>
      <c r="B493" s="75">
        <v>20</v>
      </c>
      <c r="C493" s="115">
        <v>4</v>
      </c>
      <c r="D493" s="2" t="s">
        <v>432</v>
      </c>
      <c r="E493" s="115"/>
      <c r="F493" s="18">
        <v>5915851</v>
      </c>
      <c r="G493" s="18">
        <v>15525000</v>
      </c>
      <c r="H493" s="18">
        <v>3675816</v>
      </c>
      <c r="I493" s="18"/>
      <c r="J493" s="18"/>
      <c r="K493" s="24" t="s">
        <v>288</v>
      </c>
      <c r="L493" s="24" t="s">
        <v>288</v>
      </c>
      <c r="N493" s="265"/>
    </row>
    <row r="494" spans="1:14" s="52" customFormat="1" ht="12.2" customHeight="1" x14ac:dyDescent="0.2">
      <c r="A494" s="22" t="s">
        <v>618</v>
      </c>
      <c r="B494" s="75">
        <v>20</v>
      </c>
      <c r="C494" s="115">
        <v>5</v>
      </c>
      <c r="D494" s="2" t="s">
        <v>432</v>
      </c>
      <c r="E494" s="115"/>
      <c r="F494" s="18">
        <v>5.31</v>
      </c>
      <c r="G494" s="18">
        <v>3.52</v>
      </c>
      <c r="H494" s="18">
        <v>4.4800000000000004</v>
      </c>
      <c r="I494" s="18"/>
      <c r="J494" s="18"/>
      <c r="K494" s="24" t="s">
        <v>288</v>
      </c>
      <c r="L494" s="24" t="s">
        <v>288</v>
      </c>
      <c r="N494" s="265"/>
    </row>
    <row r="495" spans="1:14" s="52" customFormat="1" ht="12.2" customHeight="1" x14ac:dyDescent="0.2">
      <c r="A495" s="22" t="s">
        <v>619</v>
      </c>
      <c r="B495" s="75">
        <v>20</v>
      </c>
      <c r="C495" s="115">
        <v>6</v>
      </c>
      <c r="D495" s="2" t="s">
        <v>432</v>
      </c>
      <c r="E495" s="115"/>
      <c r="F495" s="18">
        <f>945000-296000</f>
        <v>649000</v>
      </c>
      <c r="G495" s="18">
        <f>4650000-775000</f>
        <v>3875000</v>
      </c>
      <c r="H495" s="18">
        <f>1222854-245382</f>
        <v>977472</v>
      </c>
      <c r="I495" s="18"/>
      <c r="J495" s="18"/>
      <c r="K495" s="53">
        <f>SUM(F495:J495)</f>
        <v>5501472</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295000</v>
      </c>
      <c r="G497" s="18">
        <v>775000</v>
      </c>
      <c r="H497" s="18">
        <v>245382</v>
      </c>
      <c r="I497" s="18"/>
      <c r="J497" s="18"/>
      <c r="K497" s="53">
        <f t="shared" si="35"/>
        <v>1315382</v>
      </c>
      <c r="L497" s="24" t="s">
        <v>288</v>
      </c>
      <c r="N497" s="265"/>
    </row>
    <row r="498" spans="1:14" s="52" customFormat="1" ht="12.2" customHeight="1" x14ac:dyDescent="0.2">
      <c r="A498" s="200" t="s">
        <v>622</v>
      </c>
      <c r="B498" s="201">
        <v>20</v>
      </c>
      <c r="C498" s="202">
        <v>9</v>
      </c>
      <c r="D498" s="203" t="s">
        <v>432</v>
      </c>
      <c r="E498" s="202"/>
      <c r="F498" s="204">
        <v>649000</v>
      </c>
      <c r="G498" s="204">
        <v>3875000</v>
      </c>
      <c r="H498" s="204">
        <v>977472</v>
      </c>
      <c r="I498" s="204"/>
      <c r="J498" s="204"/>
      <c r="K498" s="205">
        <f t="shared" si="35"/>
        <v>5501472</v>
      </c>
      <c r="L498" s="206" t="s">
        <v>288</v>
      </c>
      <c r="N498" s="265"/>
    </row>
    <row r="499" spans="1:14" s="52" customFormat="1" ht="12.2" customHeight="1" thickBot="1" x14ac:dyDescent="0.25">
      <c r="A499" s="22" t="s">
        <v>623</v>
      </c>
      <c r="B499" s="75">
        <v>20</v>
      </c>
      <c r="C499" s="115">
        <v>10</v>
      </c>
      <c r="D499" s="2" t="s">
        <v>432</v>
      </c>
      <c r="E499" s="115"/>
      <c r="F499" s="18">
        <v>59650</v>
      </c>
      <c r="G499" s="18">
        <v>833125</v>
      </c>
      <c r="H499" s="18">
        <v>96287</v>
      </c>
      <c r="I499" s="18"/>
      <c r="J499" s="18"/>
      <c r="K499" s="53">
        <f t="shared" si="35"/>
        <v>989062</v>
      </c>
      <c r="L499" s="24" t="s">
        <v>288</v>
      </c>
      <c r="N499" s="265"/>
    </row>
    <row r="500" spans="1:14" s="52" customFormat="1" ht="12.2" customHeight="1" thickTop="1" x14ac:dyDescent="0.2">
      <c r="A500" s="139" t="s">
        <v>624</v>
      </c>
      <c r="B500" s="44">
        <v>20</v>
      </c>
      <c r="C500" s="195">
        <v>11</v>
      </c>
      <c r="D500" s="39" t="s">
        <v>432</v>
      </c>
      <c r="E500" s="195"/>
      <c r="F500" s="42">
        <f>SUM(F498:F499)</f>
        <v>708650</v>
      </c>
      <c r="G500" s="42">
        <f>SUM(G498:G499)</f>
        <v>4708125</v>
      </c>
      <c r="H500" s="42">
        <f>SUM(H498:H499)</f>
        <v>1073759</v>
      </c>
      <c r="I500" s="42">
        <f>SUM(I498:I499)</f>
        <v>0</v>
      </c>
      <c r="J500" s="42">
        <f>SUM(J498:J499)</f>
        <v>0</v>
      </c>
      <c r="K500" s="42">
        <f t="shared" si="35"/>
        <v>6490534</v>
      </c>
      <c r="L500" s="45" t="s">
        <v>288</v>
      </c>
      <c r="N500" s="265"/>
    </row>
    <row r="501" spans="1:14" s="52" customFormat="1" ht="12.2" customHeight="1" x14ac:dyDescent="0.2">
      <c r="A501" s="200" t="s">
        <v>651</v>
      </c>
      <c r="B501" s="201">
        <v>20</v>
      </c>
      <c r="C501" s="202">
        <v>12</v>
      </c>
      <c r="D501" s="203" t="s">
        <v>432</v>
      </c>
      <c r="E501" s="202"/>
      <c r="F501" s="204">
        <v>295000</v>
      </c>
      <c r="G501" s="204">
        <v>775000</v>
      </c>
      <c r="H501" s="204">
        <v>245382</v>
      </c>
      <c r="I501" s="204"/>
      <c r="J501" s="204"/>
      <c r="K501" s="205">
        <f t="shared" si="35"/>
        <v>1315382</v>
      </c>
      <c r="L501" s="206" t="s">
        <v>288</v>
      </c>
      <c r="N501" s="265"/>
    </row>
    <row r="502" spans="1:14" s="52" customFormat="1" ht="12.2" customHeight="1" thickBot="1" x14ac:dyDescent="0.25">
      <c r="A502" s="22" t="s">
        <v>625</v>
      </c>
      <c r="B502" s="75">
        <v>20</v>
      </c>
      <c r="C502" s="115">
        <v>13</v>
      </c>
      <c r="D502" s="2" t="s">
        <v>432</v>
      </c>
      <c r="E502" s="115"/>
      <c r="F502" s="18">
        <v>25338</v>
      </c>
      <c r="G502" s="18">
        <v>154032</v>
      </c>
      <c r="H502" s="18">
        <v>67535</v>
      </c>
      <c r="I502" s="18"/>
      <c r="J502" s="18"/>
      <c r="K502" s="53">
        <f t="shared" si="35"/>
        <v>246905</v>
      </c>
      <c r="L502" s="24" t="s">
        <v>288</v>
      </c>
      <c r="N502" s="265"/>
    </row>
    <row r="503" spans="1:14" s="52" customFormat="1" ht="12.2" customHeight="1" thickTop="1" x14ac:dyDescent="0.2">
      <c r="A503" s="139" t="s">
        <v>626</v>
      </c>
      <c r="B503" s="44">
        <v>20</v>
      </c>
      <c r="C503" s="195">
        <v>14</v>
      </c>
      <c r="D503" s="39" t="s">
        <v>432</v>
      </c>
      <c r="E503" s="195"/>
      <c r="F503" s="42">
        <f>SUM(F501:F502)</f>
        <v>320338</v>
      </c>
      <c r="G503" s="42">
        <f>SUM(G501:G502)</f>
        <v>929032</v>
      </c>
      <c r="H503" s="42">
        <f>SUM(H501:H502)</f>
        <v>312917</v>
      </c>
      <c r="I503" s="42">
        <f>SUM(I501:I502)</f>
        <v>0</v>
      </c>
      <c r="J503" s="42">
        <f>SUM(J501:J502)</f>
        <v>0</v>
      </c>
      <c r="K503" s="42">
        <f t="shared" si="35"/>
        <v>1562287</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4295653.42</v>
      </c>
      <c r="G521" s="18">
        <v>2495805.4966517184</v>
      </c>
      <c r="H521" s="18">
        <v>1345047.98</v>
      </c>
      <c r="I521" s="18">
        <v>20487.02</v>
      </c>
      <c r="J521" s="18"/>
      <c r="K521" s="18"/>
      <c r="L521" s="88">
        <f>SUM(F521:K521)</f>
        <v>8156993.9166517183</v>
      </c>
      <c r="N521" s="265"/>
    </row>
    <row r="522" spans="1:14" s="52" customFormat="1" ht="12.2" customHeight="1" x14ac:dyDescent="0.2">
      <c r="A522" s="22" t="s">
        <v>634</v>
      </c>
      <c r="B522" s="105">
        <v>21</v>
      </c>
      <c r="C522" s="115">
        <v>2</v>
      </c>
      <c r="D522" s="2" t="s">
        <v>432</v>
      </c>
      <c r="E522" s="115"/>
      <c r="F522" s="18">
        <v>1264494.8600000001</v>
      </c>
      <c r="G522" s="18">
        <v>756727.28347479634</v>
      </c>
      <c r="H522" s="18">
        <v>950123.41</v>
      </c>
      <c r="I522" s="18">
        <v>936.38</v>
      </c>
      <c r="J522" s="18"/>
      <c r="K522" s="18"/>
      <c r="L522" s="88">
        <f>SUM(F522:K522)</f>
        <v>2972281.9334747964</v>
      </c>
      <c r="N522" s="265"/>
    </row>
    <row r="523" spans="1:14" s="52" customFormat="1" ht="12.2" customHeight="1" thickBot="1" x14ac:dyDescent="0.25">
      <c r="A523" s="22" t="s">
        <v>635</v>
      </c>
      <c r="B523" s="105">
        <v>21</v>
      </c>
      <c r="C523" s="115">
        <v>3</v>
      </c>
      <c r="D523" s="2" t="s">
        <v>432</v>
      </c>
      <c r="E523" s="115"/>
      <c r="F523" s="18">
        <v>2063777.08</v>
      </c>
      <c r="G523" s="18">
        <v>1314380.1594199594</v>
      </c>
      <c r="H523" s="18">
        <v>2572901.0299999998</v>
      </c>
      <c r="I523" s="18">
        <v>1989.82</v>
      </c>
      <c r="J523" s="18"/>
      <c r="K523" s="18"/>
      <c r="L523" s="88">
        <f>SUM(F523:K523)</f>
        <v>5953048.0894199591</v>
      </c>
      <c r="N523" s="265"/>
    </row>
    <row r="524" spans="1:14" s="52" customFormat="1" ht="12.2" customHeight="1" thickTop="1" x14ac:dyDescent="0.2">
      <c r="A524" s="139" t="s">
        <v>63</v>
      </c>
      <c r="B524" s="107">
        <v>21</v>
      </c>
      <c r="C524" s="195">
        <v>4</v>
      </c>
      <c r="D524" s="196" t="s">
        <v>432</v>
      </c>
      <c r="E524" s="195"/>
      <c r="F524" s="108">
        <f>SUM(F521:F523)</f>
        <v>7623925.3600000003</v>
      </c>
      <c r="G524" s="108">
        <f t="shared" ref="G524:L524" si="36">SUM(G521:G523)</f>
        <v>4566912.9395464743</v>
      </c>
      <c r="H524" s="108">
        <f t="shared" si="36"/>
        <v>4868072.42</v>
      </c>
      <c r="I524" s="108">
        <f t="shared" si="36"/>
        <v>23413.22</v>
      </c>
      <c r="J524" s="108">
        <f t="shared" si="36"/>
        <v>0</v>
      </c>
      <c r="K524" s="108">
        <f t="shared" si="36"/>
        <v>0</v>
      </c>
      <c r="L524" s="89">
        <f t="shared" si="36"/>
        <v>17082323.939546473</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891006.27</v>
      </c>
      <c r="G526" s="18">
        <v>26555.3</v>
      </c>
      <c r="H526" s="18">
        <v>741958.98</v>
      </c>
      <c r="I526" s="18">
        <v>1363.47</v>
      </c>
      <c r="J526" s="18"/>
      <c r="K526" s="18"/>
      <c r="L526" s="88">
        <f>SUM(F526:K526)</f>
        <v>1660884.02</v>
      </c>
      <c r="M526" s="8"/>
      <c r="N526" s="266"/>
    </row>
    <row r="527" spans="1:14" s="3" customFormat="1" ht="12.2" customHeight="1" x14ac:dyDescent="0.15">
      <c r="A527" s="22" t="s">
        <v>634</v>
      </c>
      <c r="B527" s="105">
        <v>21</v>
      </c>
      <c r="C527" s="115">
        <v>6</v>
      </c>
      <c r="D527" s="2" t="s">
        <v>432</v>
      </c>
      <c r="E527" s="115"/>
      <c r="F527" s="18">
        <v>134521</v>
      </c>
      <c r="G527" s="18">
        <v>15332.2</v>
      </c>
      <c r="H527" s="18">
        <v>270687.01</v>
      </c>
      <c r="I527" s="18">
        <v>1536.3500000000001</v>
      </c>
      <c r="J527" s="18"/>
      <c r="K527" s="18"/>
      <c r="L527" s="88">
        <f>SUM(F527:K527)</f>
        <v>422076.56</v>
      </c>
      <c r="M527" s="8"/>
      <c r="N527" s="266"/>
    </row>
    <row r="528" spans="1:14" s="3" customFormat="1" ht="12.2" customHeight="1" thickBot="1" x14ac:dyDescent="0.2">
      <c r="A528" s="22" t="s">
        <v>635</v>
      </c>
      <c r="B528" s="118">
        <v>21</v>
      </c>
      <c r="C528" s="118">
        <v>7</v>
      </c>
      <c r="D528" s="2" t="s">
        <v>432</v>
      </c>
      <c r="E528" s="118"/>
      <c r="F528" s="18">
        <v>166831.75</v>
      </c>
      <c r="G528" s="18">
        <v>10202.299999999999</v>
      </c>
      <c r="H528" s="18">
        <v>361595.57</v>
      </c>
      <c r="I528" s="18">
        <v>3491.67</v>
      </c>
      <c r="J528" s="18"/>
      <c r="K528" s="18"/>
      <c r="L528" s="88">
        <f>SUM(F528:K528)</f>
        <v>542121.29</v>
      </c>
      <c r="M528" s="8"/>
      <c r="N528" s="266"/>
    </row>
    <row r="529" spans="1:14" s="3" customFormat="1" ht="12.2" customHeight="1" thickTop="1" x14ac:dyDescent="0.15">
      <c r="A529" s="139" t="s">
        <v>65</v>
      </c>
      <c r="B529" s="107">
        <v>21</v>
      </c>
      <c r="C529" s="107">
        <v>8</v>
      </c>
      <c r="D529" s="158" t="s">
        <v>432</v>
      </c>
      <c r="E529" s="107"/>
      <c r="F529" s="89">
        <f>SUM(F526:F528)</f>
        <v>1192359.02</v>
      </c>
      <c r="G529" s="89">
        <f t="shared" ref="G529:L529" si="37">SUM(G526:G528)</f>
        <v>52089.8</v>
      </c>
      <c r="H529" s="89">
        <f t="shared" si="37"/>
        <v>1374241.56</v>
      </c>
      <c r="I529" s="89">
        <f t="shared" si="37"/>
        <v>6391.49</v>
      </c>
      <c r="J529" s="89">
        <f t="shared" si="37"/>
        <v>0</v>
      </c>
      <c r="K529" s="89">
        <f t="shared" si="37"/>
        <v>0</v>
      </c>
      <c r="L529" s="89">
        <f t="shared" si="37"/>
        <v>2625081.87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208406.01</v>
      </c>
      <c r="G531" s="18">
        <v>45366.2</v>
      </c>
      <c r="H531" s="18"/>
      <c r="I531" s="18"/>
      <c r="J531" s="18"/>
      <c r="K531" s="18"/>
      <c r="L531" s="88">
        <f>SUM(F531:K531)</f>
        <v>253772.21000000002</v>
      </c>
      <c r="M531" s="8"/>
      <c r="N531" s="266"/>
    </row>
    <row r="532" spans="1:14" s="3" customFormat="1" ht="12.2" customHeight="1" x14ac:dyDescent="0.15">
      <c r="A532" s="22" t="s">
        <v>634</v>
      </c>
      <c r="B532" s="105">
        <v>21</v>
      </c>
      <c r="C532" s="105">
        <v>10</v>
      </c>
      <c r="D532" s="2" t="s">
        <v>432</v>
      </c>
      <c r="E532" s="105"/>
      <c r="F532" s="18">
        <v>29291.360000000001</v>
      </c>
      <c r="G532" s="18">
        <v>23666.5</v>
      </c>
      <c r="H532" s="18"/>
      <c r="I532" s="18"/>
      <c r="J532" s="18"/>
      <c r="K532" s="18"/>
      <c r="L532" s="88">
        <f>SUM(F532:K532)</f>
        <v>52957.86</v>
      </c>
      <c r="M532" s="8"/>
      <c r="N532" s="266"/>
    </row>
    <row r="533" spans="1:14" s="3" customFormat="1" ht="12.2" customHeight="1" thickBot="1" x14ac:dyDescent="0.2">
      <c r="A533" s="22" t="s">
        <v>635</v>
      </c>
      <c r="B533" s="105">
        <v>21</v>
      </c>
      <c r="C533" s="105">
        <v>11</v>
      </c>
      <c r="D533" s="2" t="s">
        <v>432</v>
      </c>
      <c r="E533" s="105"/>
      <c r="F533" s="18">
        <v>123772.37000000001</v>
      </c>
      <c r="G533" s="18">
        <v>75986.210000000006</v>
      </c>
      <c r="H533" s="18"/>
      <c r="I533" s="18"/>
      <c r="J533" s="18"/>
      <c r="K533" s="18"/>
      <c r="L533" s="88">
        <f>SUM(F533:K533)</f>
        <v>199758.58000000002</v>
      </c>
      <c r="M533" s="8"/>
      <c r="N533" s="266"/>
    </row>
    <row r="534" spans="1:14" s="3" customFormat="1" ht="12.2" customHeight="1" thickTop="1" x14ac:dyDescent="0.15">
      <c r="A534" s="139" t="s">
        <v>67</v>
      </c>
      <c r="B534" s="107">
        <v>21</v>
      </c>
      <c r="C534" s="107">
        <v>12</v>
      </c>
      <c r="D534" s="158" t="s">
        <v>432</v>
      </c>
      <c r="E534" s="107"/>
      <c r="F534" s="89">
        <f>SUM(F531:F533)</f>
        <v>361469.74</v>
      </c>
      <c r="G534" s="89">
        <f t="shared" ref="G534:L534" si="38">SUM(G531:G533)</f>
        <v>145018.91</v>
      </c>
      <c r="H534" s="89">
        <f t="shared" si="38"/>
        <v>0</v>
      </c>
      <c r="I534" s="89">
        <f t="shared" si="38"/>
        <v>0</v>
      </c>
      <c r="J534" s="89">
        <f t="shared" si="38"/>
        <v>0</v>
      </c>
      <c r="K534" s="89">
        <f t="shared" si="38"/>
        <v>0</v>
      </c>
      <c r="L534" s="89">
        <f t="shared" si="38"/>
        <v>506488.65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12536.3</v>
      </c>
      <c r="I536" s="18"/>
      <c r="J536" s="18"/>
      <c r="K536" s="18"/>
      <c r="L536" s="88">
        <f>SUM(F536:K536)</f>
        <v>12536.3</v>
      </c>
      <c r="M536" s="8"/>
      <c r="N536" s="266"/>
    </row>
    <row r="537" spans="1:14" s="3" customFormat="1" ht="12.2" customHeight="1" x14ac:dyDescent="0.15">
      <c r="A537" s="22" t="s">
        <v>634</v>
      </c>
      <c r="B537" s="105">
        <v>21</v>
      </c>
      <c r="C537" s="105">
        <v>14</v>
      </c>
      <c r="D537" s="2" t="s">
        <v>432</v>
      </c>
      <c r="E537" s="105"/>
      <c r="F537" s="18"/>
      <c r="G537" s="18"/>
      <c r="H537" s="18">
        <v>2500.3000000000002</v>
      </c>
      <c r="I537" s="18"/>
      <c r="J537" s="18"/>
      <c r="K537" s="18"/>
      <c r="L537" s="88">
        <f>SUM(F537:K537)</f>
        <v>2500.3000000000002</v>
      </c>
      <c r="M537" s="8"/>
      <c r="N537" s="266"/>
    </row>
    <row r="538" spans="1:14" s="3" customFormat="1" ht="12.2" customHeight="1" thickBot="1" x14ac:dyDescent="0.2">
      <c r="A538" s="22" t="s">
        <v>635</v>
      </c>
      <c r="B538" s="105">
        <v>21</v>
      </c>
      <c r="C538" s="105">
        <v>15</v>
      </c>
      <c r="D538" s="2" t="s">
        <v>432</v>
      </c>
      <c r="E538" s="105"/>
      <c r="F538" s="18"/>
      <c r="G538" s="18"/>
      <c r="H538" s="18">
        <v>21000.66</v>
      </c>
      <c r="I538" s="18"/>
      <c r="J538" s="18"/>
      <c r="K538" s="18"/>
      <c r="L538" s="88">
        <f>SUM(F538:K538)</f>
        <v>21000.66</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36037.259999999995</v>
      </c>
      <c r="I539" s="89">
        <f t="shared" si="39"/>
        <v>0</v>
      </c>
      <c r="J539" s="89">
        <f t="shared" si="39"/>
        <v>0</v>
      </c>
      <c r="K539" s="89">
        <f t="shared" si="39"/>
        <v>0</v>
      </c>
      <c r="L539" s="89">
        <f t="shared" si="39"/>
        <v>36037.259999999995</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327174.09000000003</v>
      </c>
      <c r="I541" s="18"/>
      <c r="J541" s="18"/>
      <c r="K541" s="18"/>
      <c r="L541" s="88">
        <f>SUM(F541:K541)</f>
        <v>327174.09000000003</v>
      </c>
      <c r="M541" s="8"/>
      <c r="N541" s="266"/>
    </row>
    <row r="542" spans="1:14" s="3" customFormat="1" ht="12.2" customHeight="1" x14ac:dyDescent="0.15">
      <c r="A542" s="22" t="s">
        <v>634</v>
      </c>
      <c r="B542" s="105">
        <v>21</v>
      </c>
      <c r="C542" s="105">
        <v>18</v>
      </c>
      <c r="D542" s="2" t="s">
        <v>432</v>
      </c>
      <c r="E542" s="105"/>
      <c r="F542" s="18"/>
      <c r="G542" s="18"/>
      <c r="H542" s="18">
        <v>158493.79999999999</v>
      </c>
      <c r="I542" s="18"/>
      <c r="J542" s="18"/>
      <c r="K542" s="18"/>
      <c r="L542" s="88">
        <f>SUM(F542:K542)</f>
        <v>158493.79999999999</v>
      </c>
      <c r="M542" s="8"/>
      <c r="N542" s="266"/>
    </row>
    <row r="543" spans="1:14" s="3" customFormat="1" ht="12.2" customHeight="1" thickBot="1" x14ac:dyDescent="0.2">
      <c r="A543" s="22" t="s">
        <v>635</v>
      </c>
      <c r="B543" s="105">
        <v>21</v>
      </c>
      <c r="C543" s="105">
        <v>19</v>
      </c>
      <c r="D543" s="2" t="s">
        <v>432</v>
      </c>
      <c r="E543" s="105"/>
      <c r="F543" s="18"/>
      <c r="G543" s="18"/>
      <c r="H543" s="18">
        <v>723155.29</v>
      </c>
      <c r="I543" s="18"/>
      <c r="J543" s="18"/>
      <c r="K543" s="18"/>
      <c r="L543" s="88">
        <f>SUM(F543:K543)</f>
        <v>723155.29</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1208823.1800000002</v>
      </c>
      <c r="I544" s="193">
        <f t="shared" si="40"/>
        <v>0</v>
      </c>
      <c r="J544" s="193">
        <f t="shared" si="40"/>
        <v>0</v>
      </c>
      <c r="K544" s="193">
        <f t="shared" si="40"/>
        <v>0</v>
      </c>
      <c r="L544" s="193">
        <f t="shared" si="40"/>
        <v>1208823.1800000002</v>
      </c>
      <c r="M544" s="8"/>
      <c r="N544" s="266"/>
    </row>
    <row r="545" spans="1:14" s="3" customFormat="1" ht="12.2" customHeight="1" thickTop="1" x14ac:dyDescent="0.15">
      <c r="A545" s="98" t="s">
        <v>72</v>
      </c>
      <c r="B545" s="107">
        <v>21</v>
      </c>
      <c r="C545" s="107">
        <v>21</v>
      </c>
      <c r="D545" s="158" t="s">
        <v>432</v>
      </c>
      <c r="E545" s="107"/>
      <c r="F545" s="89">
        <f>F524+F529+F534+F539+F544</f>
        <v>9177754.120000001</v>
      </c>
      <c r="G545" s="89">
        <f t="shared" ref="G545:L545" si="41">G524+G529+G534+G539+G544</f>
        <v>4764021.6495464742</v>
      </c>
      <c r="H545" s="89">
        <f t="shared" si="41"/>
        <v>7487174.4199999999</v>
      </c>
      <c r="I545" s="89">
        <f t="shared" si="41"/>
        <v>29804.71</v>
      </c>
      <c r="J545" s="89">
        <f t="shared" si="41"/>
        <v>0</v>
      </c>
      <c r="K545" s="89">
        <f t="shared" si="41"/>
        <v>0</v>
      </c>
      <c r="L545" s="89">
        <f t="shared" si="41"/>
        <v>21458754.899546474</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8156993.9166517183</v>
      </c>
      <c r="G549" s="87">
        <f>L526</f>
        <v>1660884.02</v>
      </c>
      <c r="H549" s="87">
        <f>L531</f>
        <v>253772.21000000002</v>
      </c>
      <c r="I549" s="87">
        <f>L536</f>
        <v>12536.3</v>
      </c>
      <c r="J549" s="87">
        <f>L541</f>
        <v>327174.09000000003</v>
      </c>
      <c r="K549" s="87">
        <f>SUM(F549:J549)</f>
        <v>10411360.536651719</v>
      </c>
      <c r="L549" s="24" t="s">
        <v>288</v>
      </c>
      <c r="M549" s="8"/>
      <c r="N549" s="266"/>
    </row>
    <row r="550" spans="1:14" s="3" customFormat="1" ht="12.2" customHeight="1" x14ac:dyDescent="0.15">
      <c r="A550" s="22" t="s">
        <v>634</v>
      </c>
      <c r="B550" s="75">
        <v>21</v>
      </c>
      <c r="C550" s="75">
        <v>23</v>
      </c>
      <c r="D550" s="2" t="s">
        <v>432</v>
      </c>
      <c r="E550" s="75"/>
      <c r="F550" s="87">
        <f>L522</f>
        <v>2972281.9334747964</v>
      </c>
      <c r="G550" s="87">
        <f>L527</f>
        <v>422076.56</v>
      </c>
      <c r="H550" s="87">
        <f>L532</f>
        <v>52957.86</v>
      </c>
      <c r="I550" s="87">
        <f>L537</f>
        <v>2500.3000000000002</v>
      </c>
      <c r="J550" s="87">
        <f>L542</f>
        <v>158493.79999999999</v>
      </c>
      <c r="K550" s="87">
        <f>SUM(F550:J550)</f>
        <v>3608310.4534747959</v>
      </c>
      <c r="L550" s="24" t="s">
        <v>288</v>
      </c>
      <c r="M550" s="8"/>
      <c r="N550" s="266"/>
    </row>
    <row r="551" spans="1:14" s="3" customFormat="1" ht="12.2" customHeight="1" thickBot="1" x14ac:dyDescent="0.2">
      <c r="A551" s="22" t="s">
        <v>635</v>
      </c>
      <c r="B551" s="75">
        <v>21</v>
      </c>
      <c r="C551" s="75">
        <v>24</v>
      </c>
      <c r="D551" s="2" t="s">
        <v>432</v>
      </c>
      <c r="E551" s="75"/>
      <c r="F551" s="87">
        <f>L523</f>
        <v>5953048.0894199591</v>
      </c>
      <c r="G551" s="87">
        <f>L528</f>
        <v>542121.29</v>
      </c>
      <c r="H551" s="87">
        <f>L533</f>
        <v>199758.58000000002</v>
      </c>
      <c r="I551" s="87">
        <f>L538</f>
        <v>21000.66</v>
      </c>
      <c r="J551" s="87">
        <f>L543</f>
        <v>723155.29</v>
      </c>
      <c r="K551" s="87">
        <f>SUM(F551:J551)</f>
        <v>7439083.9094199594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17082323.939546473</v>
      </c>
      <c r="G552" s="89">
        <f t="shared" si="42"/>
        <v>2625081.87</v>
      </c>
      <c r="H552" s="89">
        <f t="shared" si="42"/>
        <v>506488.65</v>
      </c>
      <c r="I552" s="89">
        <f t="shared" si="42"/>
        <v>36037.259999999995</v>
      </c>
      <c r="J552" s="89">
        <f t="shared" si="42"/>
        <v>1208823.1800000002</v>
      </c>
      <c r="K552" s="89">
        <f t="shared" si="42"/>
        <v>21458754.899546474</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v>62563.3</v>
      </c>
      <c r="G567" s="18"/>
      <c r="H567" s="18">
        <v>3596.23</v>
      </c>
      <c r="I567" s="18"/>
      <c r="J567" s="18"/>
      <c r="K567" s="18"/>
      <c r="L567" s="88">
        <f>SUM(F567:K567)</f>
        <v>66159.53</v>
      </c>
      <c r="M567" s="8"/>
      <c r="N567" s="266"/>
    </row>
    <row r="568" spans="1:14" s="3" customFormat="1" ht="12.2" customHeight="1" x14ac:dyDescent="0.15">
      <c r="A568" s="22" t="s">
        <v>634</v>
      </c>
      <c r="B568" s="105">
        <v>22</v>
      </c>
      <c r="C568" s="105">
        <v>10</v>
      </c>
      <c r="D568" s="2" t="s">
        <v>432</v>
      </c>
      <c r="E568" s="105"/>
      <c r="F568" s="18">
        <v>61963.23</v>
      </c>
      <c r="G568" s="18"/>
      <c r="H568" s="18">
        <v>2789.23</v>
      </c>
      <c r="I568" s="18"/>
      <c r="J568" s="18"/>
      <c r="K568" s="18"/>
      <c r="L568" s="88">
        <f>SUM(F568:K568)</f>
        <v>64752.460000000006</v>
      </c>
      <c r="M568" s="8"/>
      <c r="N568" s="266"/>
    </row>
    <row r="569" spans="1:14" s="3" customFormat="1" ht="12.2" customHeight="1" thickBot="1" x14ac:dyDescent="0.2">
      <c r="A569" s="22" t="s">
        <v>635</v>
      </c>
      <c r="B569" s="105">
        <v>22</v>
      </c>
      <c r="C569" s="105">
        <v>11</v>
      </c>
      <c r="D569" s="2" t="s">
        <v>432</v>
      </c>
      <c r="E569" s="105"/>
      <c r="F569" s="18">
        <v>98563.31</v>
      </c>
      <c r="G569" s="18"/>
      <c r="H569" s="18">
        <v>14727.56</v>
      </c>
      <c r="I569" s="18"/>
      <c r="J569" s="18"/>
      <c r="K569" s="18"/>
      <c r="L569" s="88">
        <f>SUM(F569:K569)</f>
        <v>113290.87</v>
      </c>
      <c r="M569" s="8"/>
      <c r="N569" s="266"/>
    </row>
    <row r="570" spans="1:14" s="3" customFormat="1" ht="12.2" customHeight="1" thickTop="1" thickBot="1" x14ac:dyDescent="0.2">
      <c r="A570" s="130" t="s">
        <v>67</v>
      </c>
      <c r="B570" s="191">
        <v>22</v>
      </c>
      <c r="C570" s="191">
        <v>12</v>
      </c>
      <c r="D570" s="197" t="s">
        <v>432</v>
      </c>
      <c r="E570" s="191"/>
      <c r="F570" s="193">
        <f>SUM(F567:F569)</f>
        <v>223089.84</v>
      </c>
      <c r="G570" s="193">
        <f t="shared" ref="G570:L570" si="45">SUM(G567:G569)</f>
        <v>0</v>
      </c>
      <c r="H570" s="193">
        <f t="shared" si="45"/>
        <v>21113.02</v>
      </c>
      <c r="I570" s="193">
        <f t="shared" si="45"/>
        <v>0</v>
      </c>
      <c r="J570" s="193">
        <f t="shared" si="45"/>
        <v>0</v>
      </c>
      <c r="K570" s="193">
        <f t="shared" si="45"/>
        <v>0</v>
      </c>
      <c r="L570" s="193">
        <f t="shared" si="45"/>
        <v>244202.86</v>
      </c>
      <c r="M570" s="8"/>
      <c r="N570" s="266"/>
    </row>
    <row r="571" spans="1:14" s="3" customFormat="1" ht="12.2" customHeight="1" thickTop="1" x14ac:dyDescent="0.15">
      <c r="A571" s="98" t="s">
        <v>88</v>
      </c>
      <c r="B571" s="107">
        <v>22</v>
      </c>
      <c r="C571" s="107">
        <v>13</v>
      </c>
      <c r="D571" s="158" t="s">
        <v>432</v>
      </c>
      <c r="E571" s="107"/>
      <c r="F571" s="89">
        <f>F560+F565+F570</f>
        <v>223089.84</v>
      </c>
      <c r="G571" s="89">
        <f t="shared" ref="G571:L571" si="46">G560+G565+G570</f>
        <v>0</v>
      </c>
      <c r="H571" s="89">
        <f t="shared" si="46"/>
        <v>21113.02</v>
      </c>
      <c r="I571" s="89">
        <f t="shared" si="46"/>
        <v>0</v>
      </c>
      <c r="J571" s="89">
        <f t="shared" si="46"/>
        <v>0</v>
      </c>
      <c r="K571" s="89">
        <f t="shared" si="46"/>
        <v>0</v>
      </c>
      <c r="L571" s="89">
        <f t="shared" si="46"/>
        <v>244202.86</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650464.10999999987</v>
      </c>
      <c r="G582" s="18">
        <v>726582.3899999999</v>
      </c>
      <c r="H582" s="18">
        <v>2090335.37</v>
      </c>
      <c r="I582" s="87">
        <f t="shared" si="47"/>
        <v>3467381.87</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40358.04</v>
      </c>
      <c r="I584" s="87">
        <f t="shared" si="47"/>
        <v>40358.04</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1464966.18748658-327174.09-22604.94</f>
        <v>1115187.1574865801</v>
      </c>
      <c r="I591" s="18">
        <f>534676.57-158493.8-13068.6-6722.35</f>
        <v>356391.82</v>
      </c>
      <c r="J591" s="18">
        <f>1646228.71309749-723155.29-141835.11-93953.98-70996.98</f>
        <v>616287.35309748992</v>
      </c>
      <c r="K591" s="104">
        <f t="shared" ref="K591:K597" si="48">SUM(H591:J591)</f>
        <v>2087866.3305840702</v>
      </c>
      <c r="L591" s="24" t="s">
        <v>288</v>
      </c>
      <c r="M591" s="8"/>
      <c r="N591" s="266"/>
    </row>
    <row r="592" spans="1:14" s="3" customFormat="1" ht="12.2" customHeight="1" x14ac:dyDescent="0.15">
      <c r="A592" s="3" t="s">
        <v>638</v>
      </c>
      <c r="B592" s="75">
        <v>23</v>
      </c>
      <c r="C592" s="75">
        <v>2</v>
      </c>
      <c r="D592" s="2" t="s">
        <v>432</v>
      </c>
      <c r="E592" s="75"/>
      <c r="F592" s="102">
        <v>2722</v>
      </c>
      <c r="G592" s="103" t="s">
        <v>97</v>
      </c>
      <c r="H592" s="18">
        <v>327174.09000000003</v>
      </c>
      <c r="I592" s="18">
        <v>158493.79999999999</v>
      </c>
      <c r="J592" s="18">
        <v>723155.29</v>
      </c>
      <c r="K592" s="104">
        <f t="shared" si="48"/>
        <v>1208823.1800000002</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141835.10999999999</v>
      </c>
      <c r="K593" s="104">
        <f t="shared" si="48"/>
        <v>141835.10999999999</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13068.6</v>
      </c>
      <c r="J594" s="18">
        <v>93953.98</v>
      </c>
      <c r="K594" s="104">
        <f t="shared" si="48"/>
        <v>107022.58</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22604.94</v>
      </c>
      <c r="I595" s="18">
        <v>6722.35</v>
      </c>
      <c r="J595" s="18">
        <v>70996.98000000001</v>
      </c>
      <c r="K595" s="104">
        <f t="shared" si="48"/>
        <v>100324.27000000002</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1464966.1874865801</v>
      </c>
      <c r="I598" s="108">
        <f>SUM(I591:I597)</f>
        <v>534676.56999999995</v>
      </c>
      <c r="J598" s="108">
        <f>SUM(J591:J597)</f>
        <v>1646228.7130974899</v>
      </c>
      <c r="K598" s="108">
        <f>SUM(K591:K597)</f>
        <v>3645871.4705840703</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338173.48</f>
        <v>338173.48</v>
      </c>
      <c r="I604" s="18">
        <f>81970.91+11825</f>
        <v>93795.91</v>
      </c>
      <c r="J604" s="18">
        <f>5327+219801.16</f>
        <v>225128.16</v>
      </c>
      <c r="K604" s="104">
        <f>SUM(H604:J604)</f>
        <v>657097.55000000005</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338173.48</v>
      </c>
      <c r="I605" s="108">
        <f>SUM(I602:I604)</f>
        <v>93795.91</v>
      </c>
      <c r="J605" s="108">
        <f>SUM(J602:J604)</f>
        <v>225128.16</v>
      </c>
      <c r="K605" s="108">
        <f>SUM(K602:K604)</f>
        <v>657097.55000000005</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f>19045.28+15193.92+25714.16</f>
        <v>59953.36</v>
      </c>
      <c r="I611" s="18">
        <v>2978.04</v>
      </c>
      <c r="J611" s="18"/>
      <c r="K611" s="18"/>
      <c r="L611" s="88">
        <f>SUM(F611:K611)</f>
        <v>62931.4</v>
      </c>
      <c r="M611" s="8"/>
      <c r="N611" s="266"/>
    </row>
    <row r="612" spans="1:14" s="3" customFormat="1" ht="12.2" customHeight="1" x14ac:dyDescent="0.15">
      <c r="A612" s="22" t="s">
        <v>634</v>
      </c>
      <c r="B612" s="75">
        <v>23</v>
      </c>
      <c r="C612" s="75">
        <v>14</v>
      </c>
      <c r="D612" s="2" t="s">
        <v>432</v>
      </c>
      <c r="E612" s="75"/>
      <c r="F612" s="18"/>
      <c r="G612" s="18"/>
      <c r="H612" s="18">
        <v>68773.2</v>
      </c>
      <c r="I612" s="18"/>
      <c r="J612" s="18"/>
      <c r="K612" s="18"/>
      <c r="L612" s="88">
        <f>SUM(F612:K612)</f>
        <v>68773.2</v>
      </c>
      <c r="M612" s="8"/>
      <c r="N612" s="266"/>
    </row>
    <row r="613" spans="1:14" s="3" customFormat="1" ht="12.2" customHeight="1" thickBot="1" x14ac:dyDescent="0.2">
      <c r="A613" s="22" t="s">
        <v>645</v>
      </c>
      <c r="B613" s="75">
        <v>23</v>
      </c>
      <c r="C613" s="75">
        <v>15</v>
      </c>
      <c r="D613" s="2" t="s">
        <v>432</v>
      </c>
      <c r="E613" s="75"/>
      <c r="F613" s="18"/>
      <c r="G613" s="18"/>
      <c r="H613" s="18">
        <v>133695.5</v>
      </c>
      <c r="I613" s="18"/>
      <c r="J613" s="18"/>
      <c r="K613" s="18"/>
      <c r="L613" s="88">
        <f>SUM(F613:K613)</f>
        <v>133695.5</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262422.06</v>
      </c>
      <c r="I614" s="108">
        <f t="shared" si="49"/>
        <v>2978.04</v>
      </c>
      <c r="J614" s="108">
        <f t="shared" si="49"/>
        <v>0</v>
      </c>
      <c r="K614" s="108">
        <f t="shared" si="49"/>
        <v>0</v>
      </c>
      <c r="L614" s="89">
        <f t="shared" si="49"/>
        <v>265400.09999999998</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3744308.7900000005</v>
      </c>
      <c r="H617" s="109">
        <f>SUM(F52)</f>
        <v>3744308.79</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32319.11</v>
      </c>
      <c r="H618" s="109">
        <f>SUM(G52)</f>
        <v>32319.11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184074</v>
      </c>
      <c r="H619" s="109">
        <f>SUM(H52)</f>
        <v>184074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768055.47</v>
      </c>
      <c r="H621" s="109">
        <f>SUM(J52)</f>
        <v>768055.47</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3424358.07</v>
      </c>
      <c r="H622" s="109">
        <f>F476</f>
        <v>3424358.0699999928</v>
      </c>
      <c r="I622" s="121" t="s">
        <v>101</v>
      </c>
      <c r="J622" s="109">
        <f t="shared" ref="J622:J655" si="50">G622-H622</f>
        <v>6.9849193096160889E-9</v>
      </c>
      <c r="K622" s="109"/>
      <c r="L622" s="109"/>
      <c r="M622" s="8"/>
    </row>
    <row r="623" spans="1:14" s="3" customFormat="1" ht="12.2" customHeight="1" x14ac:dyDescent="0.15">
      <c r="A623" s="97"/>
      <c r="B623" s="105"/>
      <c r="C623" s="119"/>
      <c r="D623" s="119"/>
      <c r="E623" s="119"/>
      <c r="F623" s="119" t="s">
        <v>866</v>
      </c>
      <c r="G623" s="109">
        <f>G51</f>
        <v>32319.11</v>
      </c>
      <c r="H623" s="109">
        <f>G476</f>
        <v>32319.110000000102</v>
      </c>
      <c r="I623" s="121" t="s">
        <v>102</v>
      </c>
      <c r="J623" s="109">
        <f t="shared" si="50"/>
        <v>-1.0186340659856796E-10</v>
      </c>
      <c r="K623" s="109"/>
      <c r="L623" s="109"/>
      <c r="M623" s="8"/>
    </row>
    <row r="624" spans="1:14" s="3" customFormat="1" ht="12.2" customHeight="1" x14ac:dyDescent="0.15">
      <c r="A624" s="97"/>
      <c r="B624" s="105"/>
      <c r="C624" s="105"/>
      <c r="D624" s="105"/>
      <c r="E624" s="105"/>
      <c r="F624" s="120" t="s">
        <v>867</v>
      </c>
      <c r="G624" s="109">
        <f>H51</f>
        <v>8345</v>
      </c>
      <c r="H624" s="109">
        <f>H476</f>
        <v>8345</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768055.47</v>
      </c>
      <c r="H626" s="109">
        <f>J476</f>
        <v>768055.47</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71450711</v>
      </c>
      <c r="H627" s="104">
        <f>SUM(F468)</f>
        <v>71450711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1278123</v>
      </c>
      <c r="H628" s="104">
        <f>SUM(G468)</f>
        <v>1278123</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1334734</v>
      </c>
      <c r="H629" s="104">
        <f>SUM(H468)</f>
        <v>1334734</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163402.47</v>
      </c>
      <c r="H631" s="104">
        <f>SUM(J468)</f>
        <v>163402.47</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71143612.12000002</v>
      </c>
      <c r="H632" s="104">
        <f>SUM(F472)</f>
        <v>71143612.120000005</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1326389</v>
      </c>
      <c r="H633" s="104">
        <f>SUM(H472)</f>
        <v>1326389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669490.68000000005</v>
      </c>
      <c r="H634" s="104">
        <f>I369</f>
        <v>669490.68000000005</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1285359.8900000001</v>
      </c>
      <c r="H635" s="104">
        <f>SUM(G472)</f>
        <v>1285359.8899999999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163402.47</v>
      </c>
      <c r="H637" s="164">
        <f>SUM(J468)</f>
        <v>163402.47</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768055.47</v>
      </c>
      <c r="H639" s="104">
        <f>SUM(F461)</f>
        <v>768055.47</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768055.47</v>
      </c>
      <c r="H642" s="104">
        <f>SUM(I461)</f>
        <v>768055.47</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13402.47</v>
      </c>
      <c r="H644" s="104">
        <f>H408</f>
        <v>13402.47</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150000</v>
      </c>
      <c r="H645" s="104">
        <f>G408</f>
        <v>150000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163402.47</v>
      </c>
      <c r="H646" s="104">
        <f>L408</f>
        <v>163402.47</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3645871.4705840703</v>
      </c>
      <c r="H647" s="104">
        <f>L208+L226+L244</f>
        <v>3645871.4723402755</v>
      </c>
      <c r="I647" s="140" t="s">
        <v>396</v>
      </c>
      <c r="J647" s="109">
        <f t="shared" si="50"/>
        <v>-1.7562052235007286E-3</v>
      </c>
      <c r="K647" s="85"/>
      <c r="L647" s="88"/>
      <c r="M647" s="8"/>
    </row>
    <row r="648" spans="1:13" s="3" customFormat="1" ht="12.2" customHeight="1" x14ac:dyDescent="0.15">
      <c r="A648" s="22"/>
      <c r="B648" s="105"/>
      <c r="C648" s="105"/>
      <c r="D648" s="105"/>
      <c r="E648" s="105"/>
      <c r="F648" s="120" t="s">
        <v>52</v>
      </c>
      <c r="G648" s="109">
        <f>K605</f>
        <v>657097.55000000005</v>
      </c>
      <c r="H648" s="104">
        <f>(J257+J338)-(J255+J336)</f>
        <v>657097.55000000005</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1464966.1874865766</v>
      </c>
      <c r="H649" s="104">
        <f>H598</f>
        <v>1464966.1874865801</v>
      </c>
      <c r="I649" s="140" t="s">
        <v>388</v>
      </c>
      <c r="J649" s="109">
        <f t="shared" si="50"/>
        <v>-3.4924596548080444E-9</v>
      </c>
      <c r="K649" s="85"/>
      <c r="L649" s="88"/>
      <c r="M649" s="8"/>
    </row>
    <row r="650" spans="1:13" s="3" customFormat="1" ht="12.2" customHeight="1" x14ac:dyDescent="0.15">
      <c r="A650" s="22"/>
      <c r="B650" s="105"/>
      <c r="C650" s="105"/>
      <c r="D650" s="105"/>
      <c r="E650" s="105"/>
      <c r="F650" s="120" t="s">
        <v>392</v>
      </c>
      <c r="G650" s="109">
        <f>L226</f>
        <v>534676.57175620471</v>
      </c>
      <c r="H650" s="104">
        <f>I598</f>
        <v>534676.56999999995</v>
      </c>
      <c r="I650" s="140" t="s">
        <v>389</v>
      </c>
      <c r="J650" s="109">
        <f t="shared" si="50"/>
        <v>1.7562047578394413E-3</v>
      </c>
      <c r="K650" s="85"/>
      <c r="L650" s="88"/>
      <c r="M650" s="8"/>
    </row>
    <row r="651" spans="1:13" s="3" customFormat="1" ht="12.2" customHeight="1" x14ac:dyDescent="0.15">
      <c r="A651" s="22"/>
      <c r="B651" s="105"/>
      <c r="C651" s="105"/>
      <c r="D651" s="105"/>
      <c r="E651" s="105"/>
      <c r="F651" s="120" t="s">
        <v>393</v>
      </c>
      <c r="G651" s="109">
        <f>L244</f>
        <v>1646228.7130974939</v>
      </c>
      <c r="H651" s="104">
        <f>J598</f>
        <v>1646228.7130974899</v>
      </c>
      <c r="I651" s="140" t="s">
        <v>390</v>
      </c>
      <c r="J651" s="109">
        <f t="shared" si="50"/>
        <v>3.9581209421157837E-9</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150000</v>
      </c>
      <c r="H655" s="104">
        <f>K266+K347</f>
        <v>150000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34197159.910000004</v>
      </c>
      <c r="G660" s="19">
        <f>(L229+L309+L359)</f>
        <v>11390553.090000004</v>
      </c>
      <c r="H660" s="19">
        <f>(L247+L328+L360)</f>
        <v>24361784.060000006</v>
      </c>
      <c r="I660" s="19">
        <f>SUM(F660:H660)</f>
        <v>69949497.060000017</v>
      </c>
      <c r="J660" s="13"/>
      <c r="K660" s="13"/>
      <c r="L660" s="13"/>
      <c r="M660" s="9"/>
    </row>
    <row r="661" spans="1:13" s="3" customFormat="1" ht="12.2" customHeight="1" x14ac:dyDescent="0.2">
      <c r="A661" s="1" t="s">
        <v>127</v>
      </c>
      <c r="F661" s="19">
        <f>(L358/IF(SUM(L358:L360)=0,1,SUM(L358:L360))*(SUM(G97:G110)))</f>
        <v>447332.28388164501</v>
      </c>
      <c r="G661" s="19">
        <f>(L359/IF(SUM(L358:L360)=0,1,SUM(L358:L360))*(SUM(G97:G110)))</f>
        <v>147143.3966944775</v>
      </c>
      <c r="H661" s="19">
        <f>(L360/IF(SUM(L358:L360)=0,1,SUM(L358:L360))*(SUM(G97:G110)))</f>
        <v>346816.31942387746</v>
      </c>
      <c r="I661" s="19">
        <f>SUM(F661:H661)</f>
        <v>941292</v>
      </c>
      <c r="J661"/>
      <c r="K661" s="13"/>
      <c r="L661" s="13"/>
      <c r="M661" s="9"/>
    </row>
    <row r="662" spans="1:13" s="3" customFormat="1" ht="12.2" customHeight="1" x14ac:dyDescent="0.2">
      <c r="A662" s="1" t="s">
        <v>128</v>
      </c>
      <c r="F662" s="19">
        <f>(L208+L287)-(J208+J287)</f>
        <v>1464966.1874865766</v>
      </c>
      <c r="G662" s="19">
        <f>(L226+L306)-(J226+J306)</f>
        <v>534676.57175620471</v>
      </c>
      <c r="H662" s="19">
        <f>(L244+L325)-(J244+J325)</f>
        <v>1646228.7130974939</v>
      </c>
      <c r="I662" s="19">
        <f>SUM(F662:H662)</f>
        <v>3645871.4723402755</v>
      </c>
      <c r="J662"/>
      <c r="K662" s="13"/>
      <c r="L662" s="13"/>
      <c r="M662" s="8"/>
    </row>
    <row r="663" spans="1:13" s="3" customFormat="1" ht="12.2" customHeight="1" x14ac:dyDescent="0.15">
      <c r="A663" s="198" t="s">
        <v>129</v>
      </c>
      <c r="B663" s="169"/>
      <c r="C663" s="169"/>
      <c r="D663" s="169"/>
      <c r="E663" s="169"/>
      <c r="F663" s="199">
        <f>SUM(F575:F587)+SUM(H602:H604)+SUM(L611)</f>
        <v>1051568.9899999998</v>
      </c>
      <c r="G663" s="199">
        <f>SUM(G575:G587)+SUM(I602:I604)+L612</f>
        <v>889151.49999999988</v>
      </c>
      <c r="H663" s="199">
        <f>SUM(H575:H587)+SUM(J602:J604)+L613</f>
        <v>2489517.0700000003</v>
      </c>
      <c r="I663" s="19">
        <f>SUM(F663:H663)</f>
        <v>4430237.5600000005</v>
      </c>
      <c r="J663" s="13"/>
      <c r="K663" s="13"/>
      <c r="L663" s="13"/>
      <c r="M663" s="9"/>
    </row>
    <row r="664" spans="1:13" s="3" customFormat="1" ht="12.2" customHeight="1" x14ac:dyDescent="0.15">
      <c r="A664" s="1" t="s">
        <v>130</v>
      </c>
      <c r="F664" s="19">
        <f>F660-SUM(F661:F663)</f>
        <v>31233292.448631782</v>
      </c>
      <c r="G664" s="19">
        <f>G660-SUM(G661:G663)</f>
        <v>9819581.6215493213</v>
      </c>
      <c r="H664" s="19">
        <f>H660-SUM(H661:H663)</f>
        <v>19879221.957478635</v>
      </c>
      <c r="I664" s="19">
        <f>I660-SUM(I661:I663)</f>
        <v>60932096.027659744</v>
      </c>
      <c r="J664" s="13"/>
      <c r="K664" s="13"/>
      <c r="L664" s="13"/>
      <c r="M664" s="9"/>
    </row>
    <row r="665" spans="1:13" s="3" customFormat="1" ht="12.2" customHeight="1" x14ac:dyDescent="0.2">
      <c r="A665" s="1" t="s">
        <v>131</v>
      </c>
      <c r="F665" s="246">
        <v>1892.79</v>
      </c>
      <c r="G665" s="247">
        <v>556.35</v>
      </c>
      <c r="H665" s="247">
        <v>1196.74</v>
      </c>
      <c r="I665" s="19">
        <f>SUM(F665:H665)</f>
        <v>3645.88</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16501.189999999999</v>
      </c>
      <c r="G667" s="19">
        <f>ROUND(G664/G665,2)</f>
        <v>17650.009999999998</v>
      </c>
      <c r="H667" s="19">
        <f>ROUND(H664/H665,2)</f>
        <v>16611.150000000001</v>
      </c>
      <c r="I667" s="19">
        <f>ROUND(I664/I665,2)</f>
        <v>16712.59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-14.44</v>
      </c>
      <c r="I670" s="19">
        <f>SUM(F670:H670)</f>
        <v>-14.44</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16501.189999999999</v>
      </c>
      <c r="G672" s="19">
        <f>ROUND((G664+G669)/(G665+G670),2)</f>
        <v>17650.009999999998</v>
      </c>
      <c r="H672" s="19">
        <f>ROUND((H664+H669)/(H665+H670),2)</f>
        <v>16814.03</v>
      </c>
      <c r="I672" s="19">
        <f>ROUND((I664+I669)/(I665+I670),2)</f>
        <v>16779.05</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F42" sqref="F4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Merrimack</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16217663.529999999</v>
      </c>
      <c r="C9" s="229">
        <f>'DOE25'!G197+'DOE25'!G215+'DOE25'!G233+'DOE25'!G276+'DOE25'!G295+'DOE25'!G314</f>
        <v>9603168.3498111367</v>
      </c>
    </row>
    <row r="10" spans="1:3" x14ac:dyDescent="0.2">
      <c r="A10" t="s">
        <v>775</v>
      </c>
      <c r="B10" s="240">
        <f>16217663.53-1148523.35</f>
        <v>15069140.18</v>
      </c>
      <c r="C10" s="240">
        <f>9603168.34981114-895236.22</f>
        <v>8707932.1298111398</v>
      </c>
    </row>
    <row r="11" spans="1:3" x14ac:dyDescent="0.2">
      <c r="A11" t="s">
        <v>776</v>
      </c>
      <c r="B11" s="240">
        <v>1148523.3500000001</v>
      </c>
      <c r="C11" s="240">
        <v>895236.22</v>
      </c>
    </row>
    <row r="12" spans="1:3" x14ac:dyDescent="0.2">
      <c r="A12" t="s">
        <v>777</v>
      </c>
      <c r="B12" s="240"/>
      <c r="C12" s="240"/>
    </row>
    <row r="13" spans="1:3" x14ac:dyDescent="0.2">
      <c r="A13" t="str">
        <f>IF(B9=B13,IF(C9=C13,"Check Total OK","Check Total Error"),"Check Total Error")</f>
        <v>Check Total OK</v>
      </c>
      <c r="B13" s="231">
        <f>SUM(B10:B12)</f>
        <v>16217663.529999999</v>
      </c>
      <c r="C13" s="231">
        <f>SUM(C10:C12)</f>
        <v>9603168.3498111404</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7623925.3600000003</v>
      </c>
      <c r="C18" s="229">
        <f>'DOE25'!G198+'DOE25'!G216+'DOE25'!G234+'DOE25'!G277+'DOE25'!G296+'DOE25'!G315</f>
        <v>4566912.9395464743</v>
      </c>
    </row>
    <row r="19" spans="1:3" x14ac:dyDescent="0.2">
      <c r="A19" t="s">
        <v>775</v>
      </c>
      <c r="B19" s="240">
        <f>7623925.36-895666.22</f>
        <v>6728259.1400000006</v>
      </c>
      <c r="C19" s="240">
        <f>4566912.93954647-1325666.23</f>
        <v>3241246.7095464696</v>
      </c>
    </row>
    <row r="20" spans="1:3" x14ac:dyDescent="0.2">
      <c r="A20" t="s">
        <v>776</v>
      </c>
      <c r="B20" s="240">
        <v>895666.22</v>
      </c>
      <c r="C20" s="240">
        <v>1325666.23</v>
      </c>
    </row>
    <row r="21" spans="1:3" x14ac:dyDescent="0.2">
      <c r="A21" t="s">
        <v>777</v>
      </c>
      <c r="B21" s="240"/>
      <c r="C21" s="240"/>
    </row>
    <row r="22" spans="1:3" x14ac:dyDescent="0.2">
      <c r="A22" t="str">
        <f>IF(B18=B22,IF(C18=C22,"Check Total OK","Check Total Error"),"Check Total Error")</f>
        <v>Check Total OK</v>
      </c>
      <c r="B22" s="231">
        <f>SUM(B19:B21)</f>
        <v>7623925.3600000003</v>
      </c>
      <c r="C22" s="231">
        <f>SUM(C19:C21)</f>
        <v>4566912.9395464696</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412958.67</v>
      </c>
      <c r="C36" s="235">
        <f>'DOE25'!G200+'DOE25'!G218+'DOE25'!G236+'DOE25'!G279+'DOE25'!G298+'DOE25'!G317</f>
        <v>261504.53724792955</v>
      </c>
    </row>
    <row r="37" spans="1:3" x14ac:dyDescent="0.2">
      <c r="A37" t="s">
        <v>775</v>
      </c>
      <c r="B37" s="240">
        <f>412958.67-102333.54</f>
        <v>310625.13</v>
      </c>
      <c r="C37" s="240">
        <f>261504.53724793-56369.23</f>
        <v>205135.30724793</v>
      </c>
    </row>
    <row r="38" spans="1:3" x14ac:dyDescent="0.2">
      <c r="A38" t="s">
        <v>776</v>
      </c>
      <c r="B38" s="240">
        <v>102333.54</v>
      </c>
      <c r="C38" s="240">
        <v>56369.23</v>
      </c>
    </row>
    <row r="39" spans="1:3" x14ac:dyDescent="0.2">
      <c r="A39" t="s">
        <v>777</v>
      </c>
      <c r="B39" s="240"/>
      <c r="C39" s="240"/>
    </row>
    <row r="40" spans="1:3" x14ac:dyDescent="0.2">
      <c r="A40" t="str">
        <f>IF(B36=B40,IF(C36=C40,"Check Total OK","Check Total Error"),"Check Total Error")</f>
        <v>Check Total OK</v>
      </c>
      <c r="B40" s="231">
        <f>SUM(B37:B39)</f>
        <v>412958.67</v>
      </c>
      <c r="C40" s="231">
        <f>SUM(C37:C39)</f>
        <v>261504.53724793001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0" sqref="D10"/>
    </sheetView>
  </sheetViews>
  <sheetFormatPr defaultRowHeight="11.25" x14ac:dyDescent="0.2"/>
  <cols>
    <col min="1" max="1" width="10.83203125" customWidth="1"/>
    <col min="2" max="2" width="41.1640625" customWidth="1"/>
    <col min="3" max="5" width="17.83203125" customWidth="1"/>
    <col min="6" max="6" width="21.33203125" customWidth="1"/>
    <col min="7" max="7" width="20.6640625" customWidth="1"/>
    <col min="8" max="8" width="14.6640625" customWidth="1"/>
    <col min="9" max="9" width="17" customWidth="1"/>
  </cols>
  <sheetData>
    <row r="1" spans="1:9" x14ac:dyDescent="0.2">
      <c r="A1" s="325" t="s">
        <v>894</v>
      </c>
      <c r="B1" s="329"/>
      <c r="C1" s="329"/>
      <c r="D1" s="329"/>
      <c r="E1" s="329"/>
      <c r="F1" s="329"/>
      <c r="G1" s="329"/>
      <c r="H1" s="329"/>
      <c r="I1" s="181"/>
    </row>
    <row r="2" spans="1:9" x14ac:dyDescent="0.2">
      <c r="A2" s="33" t="s">
        <v>713</v>
      </c>
      <c r="B2" s="260" t="str">
        <f>'DOE25'!A2</f>
        <v>Merrimack</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44982398.426605545</v>
      </c>
      <c r="D5" s="20">
        <f>SUM('DOE25'!L197:L200)+SUM('DOE25'!L215:L218)+SUM('DOE25'!L233:L236)-F5-G5-H5</f>
        <v>44484401.516605549</v>
      </c>
      <c r="E5" s="243"/>
      <c r="F5" s="244"/>
      <c r="G5" s="53">
        <f>SUM('DOE25'!J197:J200)+SUM('DOE25'!J215:J218)+SUM('DOE25'!J233:J236)</f>
        <v>478018.91</v>
      </c>
      <c r="H5" s="53">
        <f>SUM('DOE25'!K197:K200)+SUM('DOE25'!K215:K218)+SUM('DOE25'!K233:K236)</f>
        <v>19978</v>
      </c>
      <c r="I5" s="256"/>
    </row>
    <row r="6" spans="1:9" x14ac:dyDescent="0.2">
      <c r="A6" s="32">
        <v>2100</v>
      </c>
      <c r="B6" t="s">
        <v>796</v>
      </c>
      <c r="C6" s="276">
        <f t="shared" si="0"/>
        <v>5341668.319828446</v>
      </c>
      <c r="D6" s="20">
        <f>'DOE25'!L202+'DOE25'!L220+'DOE25'!L238-F6-G6-H6</f>
        <v>5341668.319828446</v>
      </c>
      <c r="E6" s="243"/>
      <c r="F6" s="244"/>
      <c r="G6" s="53">
        <f>'DOE25'!J202+'DOE25'!J220+'DOE25'!J238</f>
        <v>0</v>
      </c>
      <c r="H6" s="53">
        <f>'DOE25'!K202+'DOE25'!K220+'DOE25'!K238</f>
        <v>0</v>
      </c>
      <c r="I6" s="256"/>
    </row>
    <row r="7" spans="1:9" x14ac:dyDescent="0.2">
      <c r="A7" s="32">
        <v>2200</v>
      </c>
      <c r="B7" t="s">
        <v>821</v>
      </c>
      <c r="C7" s="276">
        <f t="shared" si="0"/>
        <v>1592691.3847955139</v>
      </c>
      <c r="D7" s="20">
        <f>'DOE25'!L203+'DOE25'!L221+'DOE25'!L239-F7-G7-H7</f>
        <v>1561799.754795514</v>
      </c>
      <c r="E7" s="243"/>
      <c r="F7" s="244"/>
      <c r="G7" s="53">
        <f>'DOE25'!J203+'DOE25'!J221+'DOE25'!J239</f>
        <v>29417.629999999997</v>
      </c>
      <c r="H7" s="53">
        <f>'DOE25'!K203+'DOE25'!K221+'DOE25'!K239</f>
        <v>1474</v>
      </c>
      <c r="I7" s="256"/>
    </row>
    <row r="8" spans="1:9" x14ac:dyDescent="0.2">
      <c r="A8" s="32">
        <v>2300</v>
      </c>
      <c r="B8" t="s">
        <v>797</v>
      </c>
      <c r="C8" s="276">
        <f t="shared" si="0"/>
        <v>1938586.9879771352</v>
      </c>
      <c r="D8" s="243"/>
      <c r="E8" s="20">
        <f>'DOE25'!L204+'DOE25'!L222+'DOE25'!L240-F8-G8-H8-D9-D11</f>
        <v>1788861.287977135</v>
      </c>
      <c r="F8" s="244"/>
      <c r="G8" s="53">
        <f>'DOE25'!J204+'DOE25'!J222+'DOE25'!J240</f>
        <v>121517.38</v>
      </c>
      <c r="H8" s="53">
        <f>'DOE25'!K204+'DOE25'!K222+'DOE25'!K240</f>
        <v>28208.32</v>
      </c>
      <c r="I8" s="256"/>
    </row>
    <row r="9" spans="1:9" ht="14.25" x14ac:dyDescent="0.2">
      <c r="A9" s="32">
        <v>2310</v>
      </c>
      <c r="B9" s="185" t="s">
        <v>890</v>
      </c>
      <c r="C9" s="276">
        <f t="shared" si="0"/>
        <v>136197.9</v>
      </c>
      <c r="D9" s="244">
        <v>136197.9</v>
      </c>
      <c r="E9" s="243"/>
      <c r="F9" s="253"/>
      <c r="G9" s="253"/>
      <c r="H9" s="253"/>
      <c r="I9" s="256"/>
    </row>
    <row r="10" spans="1:9" ht="14.25" x14ac:dyDescent="0.2">
      <c r="A10" s="32">
        <v>2317</v>
      </c>
      <c r="B10" s="185" t="s">
        <v>891</v>
      </c>
      <c r="C10" s="276">
        <f t="shared" si="0"/>
        <v>27000</v>
      </c>
      <c r="D10" s="243"/>
      <c r="E10" s="244">
        <v>27000</v>
      </c>
      <c r="F10" s="253"/>
      <c r="G10" s="253"/>
      <c r="H10" s="253"/>
      <c r="I10" s="256"/>
    </row>
    <row r="11" spans="1:9" ht="14.25" x14ac:dyDescent="0.2">
      <c r="A11" s="32">
        <v>2321</v>
      </c>
      <c r="B11" s="185" t="s">
        <v>892</v>
      </c>
      <c r="C11" s="276">
        <f t="shared" si="0"/>
        <v>356426.32</v>
      </c>
      <c r="D11" s="244">
        <v>356426.32</v>
      </c>
      <c r="E11" s="243"/>
      <c r="F11" s="253"/>
      <c r="G11" s="253"/>
      <c r="H11" s="253"/>
      <c r="I11" s="256"/>
    </row>
    <row r="12" spans="1:9" x14ac:dyDescent="0.2">
      <c r="A12" s="32">
        <v>2400</v>
      </c>
      <c r="B12" t="s">
        <v>711</v>
      </c>
      <c r="C12" s="276">
        <f t="shared" si="0"/>
        <v>3368139.8312738691</v>
      </c>
      <c r="D12" s="20">
        <f>'DOE25'!L205+'DOE25'!L223+'DOE25'!L241-F12-G12-H12</f>
        <v>3306410.8212738694</v>
      </c>
      <c r="E12" s="243"/>
      <c r="F12" s="244"/>
      <c r="G12" s="53">
        <f>'DOE25'!J205+'DOE25'!J223+'DOE25'!J241</f>
        <v>0</v>
      </c>
      <c r="H12" s="53">
        <f>'DOE25'!K205+'DOE25'!K223+'DOE25'!K241</f>
        <v>61729.01</v>
      </c>
      <c r="I12" s="256"/>
    </row>
    <row r="13" spans="1:9" x14ac:dyDescent="0.2">
      <c r="A13" s="32">
        <v>2500</v>
      </c>
      <c r="B13" t="s">
        <v>798</v>
      </c>
      <c r="C13" s="276">
        <f t="shared" si="0"/>
        <v>738603.66154303239</v>
      </c>
      <c r="D13" s="243"/>
      <c r="E13" s="20">
        <f>'DOE25'!L206+'DOE25'!L224+'DOE25'!L242-F13-G13-H13</f>
        <v>730828.40154303238</v>
      </c>
      <c r="F13" s="244"/>
      <c r="G13" s="53">
        <f>'DOE25'!J206+'DOE25'!J224+'DOE25'!J242</f>
        <v>0</v>
      </c>
      <c r="H13" s="53">
        <f>'DOE25'!K206+'DOE25'!K224+'DOE25'!K242</f>
        <v>7775.26</v>
      </c>
      <c r="I13" s="256"/>
    </row>
    <row r="14" spans="1:9" x14ac:dyDescent="0.2">
      <c r="A14" s="32">
        <v>2600</v>
      </c>
      <c r="B14" t="s">
        <v>819</v>
      </c>
      <c r="C14" s="276">
        <f t="shared" si="0"/>
        <v>5113269.6195196062</v>
      </c>
      <c r="D14" s="20">
        <f>'DOE25'!L207+'DOE25'!L225+'DOE25'!L243-F14-G14-H14</f>
        <v>4779647.9895196063</v>
      </c>
      <c r="E14" s="243"/>
      <c r="F14" s="244">
        <f>19750+302880</f>
        <v>322630</v>
      </c>
      <c r="G14" s="53">
        <f>'DOE25'!J207+'DOE25'!J225+'DOE25'!J243</f>
        <v>10991.63</v>
      </c>
      <c r="H14" s="53">
        <f>'DOE25'!K207+'DOE25'!K225+'DOE25'!K243</f>
        <v>0</v>
      </c>
      <c r="I14" s="256"/>
    </row>
    <row r="15" spans="1:9" x14ac:dyDescent="0.2">
      <c r="A15" s="32">
        <v>2700</v>
      </c>
      <c r="B15" t="s">
        <v>799</v>
      </c>
      <c r="C15" s="276">
        <f t="shared" si="0"/>
        <v>3645871.4723402755</v>
      </c>
      <c r="D15" s="20">
        <f>'DOE25'!L208+'DOE25'!L226+'DOE25'!L244-F15-G15-H15</f>
        <v>307075.24234027555</v>
      </c>
      <c r="E15" s="243"/>
      <c r="F15" s="244">
        <f>2349585+989211.23</f>
        <v>3338796.23</v>
      </c>
      <c r="G15" s="53">
        <f>'DOE25'!J208+'DOE25'!J226+'DOE25'!J244</f>
        <v>0</v>
      </c>
      <c r="H15" s="53">
        <f>'DOE25'!K208+'DOE25'!K226+'DOE25'!K244</f>
        <v>0</v>
      </c>
      <c r="I15" s="256"/>
    </row>
    <row r="16" spans="1:9" x14ac:dyDescent="0.2">
      <c r="A16" s="32">
        <v>2800</v>
      </c>
      <c r="B16" t="s">
        <v>800</v>
      </c>
      <c r="C16" s="276">
        <f t="shared" si="0"/>
        <v>174770.24611658274</v>
      </c>
      <c r="D16" s="243"/>
      <c r="E16" s="20">
        <f>'DOE25'!L209+'DOE25'!L227+'DOE25'!L245-F16-G16-H16</f>
        <v>76020.246116582741</v>
      </c>
      <c r="F16" s="244">
        <v>98750</v>
      </c>
      <c r="G16" s="53">
        <f>'DOE25'!J209+'DOE25'!J227+'DOE25'!J245</f>
        <v>0</v>
      </c>
      <c r="H16" s="53">
        <f>'DOE25'!K209+'DOE25'!K227+'DOE25'!K245</f>
        <v>0</v>
      </c>
      <c r="I16" s="256"/>
    </row>
    <row r="17" spans="1:9" x14ac:dyDescent="0.2">
      <c r="A17" s="32">
        <v>1600</v>
      </c>
      <c r="B17" t="s">
        <v>801</v>
      </c>
      <c r="C17" s="276">
        <f t="shared" si="0"/>
        <v>26610.25</v>
      </c>
      <c r="D17" s="20">
        <f>'DOE25'!L251-F17-G17-H17</f>
        <v>26610.25</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2302942.4500000002</v>
      </c>
      <c r="D22" s="243"/>
      <c r="E22" s="243"/>
      <c r="F22" s="243"/>
      <c r="G22" s="53">
        <f>'DOE25'!L255+'DOE25'!L336</f>
        <v>2302942.4500000002</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1275435.25</v>
      </c>
      <c r="D25" s="243"/>
      <c r="E25" s="243"/>
      <c r="F25" s="255"/>
      <c r="G25" s="253"/>
      <c r="H25" s="253"/>
      <c r="I25" s="254">
        <f>'DOE25'!L260+'DOE25'!L261+'DOE25'!L341+'DOE25'!L342</f>
        <v>1275435.25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680663.37000000011</v>
      </c>
      <c r="D29" s="284">
        <f>'DOE25'!L358+'DOE25'!L359+'DOE25'!L360-'DOE25'!I367-F29-G29-H29</f>
        <v>677794.37000000011</v>
      </c>
      <c r="E29" s="243"/>
      <c r="F29" s="244"/>
      <c r="G29" s="53">
        <f>'DOE25'!J358+'DOE25'!J359+'DOE25'!J360</f>
        <v>2709</v>
      </c>
      <c r="H29" s="53">
        <f>'DOE25'!K358+'DOE25'!K359+'DOE25'!K360</f>
        <v>160</v>
      </c>
      <c r="I29" s="256"/>
    </row>
    <row r="30" spans="1:9" x14ac:dyDescent="0.2">
      <c r="A30" s="32"/>
      <c r="C30" s="277"/>
      <c r="D30" s="20"/>
      <c r="E30" s="281"/>
      <c r="F30" s="271"/>
      <c r="G30" s="53"/>
      <c r="H30" s="53"/>
      <c r="I30" s="256"/>
    </row>
    <row r="31" spans="1:9" x14ac:dyDescent="0.2">
      <c r="A31" s="32" t="s">
        <v>818</v>
      </c>
      <c r="B31" t="s">
        <v>817</v>
      </c>
      <c r="C31" s="276">
        <f>SUM(D31:I31)</f>
        <v>1277268</v>
      </c>
      <c r="D31" s="20">
        <f>'DOE25'!L290+'DOE25'!L309+'DOE25'!L328+'DOE25'!L333+'DOE25'!L334+'DOE25'!L335-F31-G31-H31</f>
        <v>1260116</v>
      </c>
      <c r="E31" s="243"/>
      <c r="F31" s="244"/>
      <c r="G31" s="53">
        <f>'DOE25'!J290+'DOE25'!J309+'DOE25'!J328+'DOE25'!J333+'DOE25'!J334+'DOE25'!J335</f>
        <v>17152</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62238148.48436325</v>
      </c>
      <c r="E33" s="245">
        <f t="shared" si="1"/>
        <v>2622709.93563675</v>
      </c>
      <c r="F33" s="245">
        <f t="shared" si="1"/>
        <v>3760176.23</v>
      </c>
      <c r="G33" s="245">
        <f t="shared" si="1"/>
        <v>2962749</v>
      </c>
      <c r="H33" s="245">
        <f t="shared" si="1"/>
        <v>119324.59</v>
      </c>
      <c r="I33" s="245">
        <f t="shared" si="1"/>
        <v>1275435.25</v>
      </c>
    </row>
    <row r="35" spans="1:9" ht="12" thickBot="1" x14ac:dyDescent="0.25">
      <c r="B35" s="251" t="s">
        <v>831</v>
      </c>
      <c r="D35" s="252">
        <f>E33</f>
        <v>2622709.93563675</v>
      </c>
      <c r="E35" s="248"/>
    </row>
    <row r="36" spans="1:9" ht="12" thickTop="1" x14ac:dyDescent="0.2">
      <c r="B36" t="s">
        <v>810</v>
      </c>
      <c r="D36" s="20">
        <f>D33</f>
        <v>62238148.48436325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22" sqref="I22"/>
    </sheetView>
  </sheetViews>
  <sheetFormatPr defaultRowHeight="11.25" x14ac:dyDescent="0.2"/>
  <cols>
    <col min="1" max="1" width="35.6640625" customWidth="1"/>
    <col min="2" max="2" width="22.33203125" customWidth="1"/>
    <col min="3" max="3" width="22" customWidth="1"/>
    <col min="4" max="5" width="14.6640625" customWidth="1"/>
    <col min="6" max="6" width="15.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Merrimack</v>
      </c>
      <c r="B2" s="126">
        <f>'DOE25'!B2</f>
        <v>351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33586315.480000004</v>
      </c>
      <c r="G4" s="303">
        <f>'DOE25'!L211+'DOE25'!L290</f>
        <v>33586315.480000004</v>
      </c>
      <c r="H4" s="304">
        <f>F4-G4</f>
        <v>0</v>
      </c>
      <c r="I4" s="310" t="str">
        <f>IF(H4=0,"","Does not match DOE25 page 7 and 11 Totals!!")</f>
        <v/>
      </c>
      <c r="N4"/>
    </row>
    <row r="5" spans="1:18" x14ac:dyDescent="0.2">
      <c r="A5" s="21" t="s">
        <v>1267</v>
      </c>
      <c r="B5" s="305">
        <f>IFERROR(VLOOKUP(A5,'School Tables'!$C$3:$D$368,2,FALSE),"")</f>
        <v>21020</v>
      </c>
      <c r="C5" s="297" t="str">
        <f>IFERROR(INDEX('School Tables'!$B$3:$B$368,MATCH('School Level Expenditures'!B5,'School Tables'!$D$3:$D$368,0)),"")</f>
        <v>Merrimack</v>
      </c>
      <c r="D5" s="294">
        <f>6366448.56278715-126764.37</f>
        <v>6239684.1927871499</v>
      </c>
      <c r="E5" s="294">
        <v>178952.05879150791</v>
      </c>
      <c r="F5" s="313">
        <f>D5+E5</f>
        <v>6418636.2515786579</v>
      </c>
      <c r="G5" s="297"/>
      <c r="H5" s="297"/>
      <c r="I5" s="126"/>
      <c r="N5"/>
    </row>
    <row r="6" spans="1:18" x14ac:dyDescent="0.2">
      <c r="A6" s="21" t="s">
        <v>1266</v>
      </c>
      <c r="B6" s="305">
        <f>IFERROR(VLOOKUP(A6,'School Tables'!$C$3:$D$368,2,FALSE),"")</f>
        <v>21015</v>
      </c>
      <c r="C6" s="297" t="str">
        <f>IFERROR(INDEX('School Tables'!$B$3:$B$368,MATCH('School Level Expenditures'!B6,'School Tables'!$D$3:$D$368,0)),"")</f>
        <v>Merrimack</v>
      </c>
      <c r="D6" s="294">
        <f>7966952.3914208-158632.51</f>
        <v>7808319.8814208005</v>
      </c>
      <c r="E6" s="294">
        <v>223940.00653238979</v>
      </c>
      <c r="F6" s="308">
        <f t="shared" ref="F6:F20" si="0">D6+E6</f>
        <v>8032259.8879531901</v>
      </c>
      <c r="G6" s="297"/>
      <c r="H6" s="297"/>
      <c r="I6" s="126"/>
      <c r="N6"/>
    </row>
    <row r="7" spans="1:18" x14ac:dyDescent="0.2">
      <c r="A7" s="21" t="s">
        <v>1269</v>
      </c>
      <c r="B7" s="305">
        <f>IFERROR(VLOOKUP(A7,'School Tables'!$C$3:$D$368,2,FALSE),"")</f>
        <v>21035</v>
      </c>
      <c r="C7" s="297" t="str">
        <f>IFERROR(INDEX('School Tables'!$B$3:$B$368,MATCH('School Level Expenditures'!B7,'School Tables'!$D$3:$D$368,0)),"")</f>
        <v>Merrimack</v>
      </c>
      <c r="D7" s="294">
        <f>8482670.2917583-168901.13</f>
        <v>8313769.1617583008</v>
      </c>
      <c r="E7" s="294">
        <v>238436.12302667394</v>
      </c>
      <c r="F7" s="308">
        <f t="shared" si="0"/>
        <v>8552205.2847849745</v>
      </c>
      <c r="G7" s="297"/>
      <c r="H7" s="297"/>
      <c r="I7" s="126"/>
      <c r="N7"/>
    </row>
    <row r="8" spans="1:18" x14ac:dyDescent="0.2">
      <c r="A8" s="21" t="s">
        <v>1268</v>
      </c>
      <c r="B8" s="305">
        <f>IFERROR(VLOOKUP(A8,'School Tables'!$C$3:$D$368,2,FALSE),"")</f>
        <v>21025</v>
      </c>
      <c r="C8" s="297" t="str">
        <f>IFERROR(INDEX('School Tables'!$B$3:$B$368,MATCH('School Level Expenditures'!B8,'School Tables'!$D$3:$D$368,0)),"")</f>
        <v>Merrimack</v>
      </c>
      <c r="D8" s="294">
        <f>9851990.23403375-196166.1</f>
        <v>9655824.1340337507</v>
      </c>
      <c r="E8" s="294">
        <v>276925.81164942845</v>
      </c>
      <c r="F8" s="308">
        <f t="shared" si="0"/>
        <v>9932749.9456831794</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t="s">
        <v>1586</v>
      </c>
      <c r="B10" s="305">
        <f>IFERROR(VLOOKUP(A10,'School Tables'!$C$3:$D$368,2,FALSE),"")</f>
        <v>99999</v>
      </c>
      <c r="C10" s="297" t="str">
        <f>IFERROR(INDEX('School Tables'!$B$3:$B$368,MATCH('School Level Expenditures'!B10,'School Tables'!$D$3:$D$368,0)),"")</f>
        <v>Other District Expenditures</v>
      </c>
      <c r="D10" s="294">
        <v>126764.37200870983</v>
      </c>
      <c r="E10" s="294"/>
      <c r="F10" s="308">
        <f t="shared" si="0"/>
        <v>126764.37200870983</v>
      </c>
      <c r="G10" s="297"/>
      <c r="H10" s="297"/>
      <c r="I10" s="126"/>
      <c r="N10"/>
    </row>
    <row r="11" spans="1:18" x14ac:dyDescent="0.2">
      <c r="A11" s="21" t="s">
        <v>1586</v>
      </c>
      <c r="B11" s="305">
        <f>IFERROR(VLOOKUP(A11,'School Tables'!$C$3:$D$368,2,FALSE),"")</f>
        <v>99999</v>
      </c>
      <c r="C11" s="297" t="str">
        <f>IFERROR(INDEX('School Tables'!$B$3:$B$368,MATCH('School Level Expenditures'!B11,'School Tables'!$D$3:$D$368,0)),"")</f>
        <v>Other District Expenditures</v>
      </c>
      <c r="D11" s="294">
        <v>158632.51022318995</v>
      </c>
      <c r="E11" s="294"/>
      <c r="F11" s="308">
        <f t="shared" si="0"/>
        <v>158632.51022318995</v>
      </c>
      <c r="G11" s="297"/>
      <c r="H11" s="297"/>
      <c r="I11" s="126"/>
      <c r="N11"/>
    </row>
    <row r="12" spans="1:18" x14ac:dyDescent="0.2">
      <c r="A12" s="21" t="s">
        <v>1586</v>
      </c>
      <c r="B12" s="305">
        <f>IFERROR(VLOOKUP(A12,'School Tables'!$C$3:$D$368,2,FALSE),"")</f>
        <v>99999</v>
      </c>
      <c r="C12" s="297" t="str">
        <f>IFERROR(INDEX('School Tables'!$B$3:$B$368,MATCH('School Level Expenditures'!B12,'School Tables'!$D$3:$D$368,0)),"")</f>
        <v>Other District Expenditures</v>
      </c>
      <c r="D12" s="294">
        <v>168901.13253674467</v>
      </c>
      <c r="E12" s="294"/>
      <c r="F12" s="308">
        <f t="shared" si="0"/>
        <v>168901.13253674467</v>
      </c>
      <c r="G12" s="297"/>
      <c r="H12" s="297"/>
      <c r="I12" s="126"/>
      <c r="N12"/>
    </row>
    <row r="13" spans="1:18" x14ac:dyDescent="0.2">
      <c r="A13" s="21" t="s">
        <v>1586</v>
      </c>
      <c r="B13" s="305">
        <f>IFERROR(VLOOKUP(A13,'School Tables'!$C$3:$D$368,2,FALSE),"")</f>
        <v>99999</v>
      </c>
      <c r="C13" s="297" t="str">
        <f>IFERROR(INDEX('School Tables'!$B$3:$B$368,MATCH('School Level Expenditures'!B13,'School Tables'!$D$3:$D$368,0)),"")</f>
        <v>Other District Expenditures</v>
      </c>
      <c r="D13" s="294">
        <v>196166.09523135543</v>
      </c>
      <c r="E13" s="294"/>
      <c r="F13" s="308">
        <f t="shared" si="0"/>
        <v>196166.09523135543</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11189624.77</v>
      </c>
      <c r="G24" s="303">
        <f>'DOE25'!L229+'DOE25'!L309</f>
        <v>11189624.770000003</v>
      </c>
      <c r="H24" s="304">
        <f>F24-G24</f>
        <v>0</v>
      </c>
      <c r="I24" s="310" t="str">
        <f>IF(H24=0,"","Does not match DOE25 page 8 and 12 Totals!!")</f>
        <v/>
      </c>
      <c r="N24"/>
    </row>
    <row r="25" spans="1:14" x14ac:dyDescent="0.2">
      <c r="A25" s="21" t="s">
        <v>1265</v>
      </c>
      <c r="B25" s="305">
        <f>IFERROR(VLOOKUP(A25,'School Tables'!$I$3:$J$80,2,FALSE),"")</f>
        <v>28375</v>
      </c>
      <c r="C25" s="297" t="str">
        <f t="array" ref="C25">IFERROR(INDEX('School Tables'!$H$3:$H$80,MATCH('School Level Expenditures'!B25,'School Tables'!$J$3:$J$80,0)),"")</f>
        <v>Merrimack</v>
      </c>
      <c r="D25" s="294">
        <f>10936932.77-726582.39</f>
        <v>10210350.379999999</v>
      </c>
      <c r="E25" s="294">
        <v>252692</v>
      </c>
      <c r="F25" s="308">
        <f>D25+E25</f>
        <v>10463042.379999999</v>
      </c>
      <c r="G25" s="297"/>
      <c r="H25" s="297"/>
      <c r="I25" s="126"/>
      <c r="N25"/>
    </row>
    <row r="26" spans="1:14" x14ac:dyDescent="0.2">
      <c r="A26" s="21" t="s">
        <v>1586</v>
      </c>
      <c r="B26" s="305">
        <f>IFERROR(VLOOKUP(A26,'School Tables'!$I$3:$J$80,2,FALSE),"")</f>
        <v>99999</v>
      </c>
      <c r="C26" s="297" t="str">
        <f t="array" ref="C26">IFERROR(INDEX('School Tables'!$H$3:$H$80,MATCH('School Level Expenditures'!B26,'School Tables'!$J$3:$J$80,0)),"")</f>
        <v>Other District Expenditures</v>
      </c>
      <c r="D26" s="294">
        <v>726582.3899999999</v>
      </c>
      <c r="E26" s="294"/>
      <c r="F26" s="308">
        <f t="shared" ref="F26:F32" si="1">D26+E26</f>
        <v>726582.3899999999</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23888196.920000002</v>
      </c>
      <c r="G36" s="303">
        <f>'DOE25'!L247+'DOE25'!L328</f>
        <v>23888196.920000006</v>
      </c>
      <c r="H36" s="304">
        <f>F36-G36</f>
        <v>0</v>
      </c>
      <c r="I36" s="310" t="str">
        <f>IF(H36=0,"","Does not match DOE25 page 9 and 13 Totals!!")</f>
        <v/>
      </c>
      <c r="N36"/>
    </row>
    <row r="37" spans="1:14" x14ac:dyDescent="0.2">
      <c r="A37" s="21" t="s">
        <v>1270</v>
      </c>
      <c r="B37" s="305">
        <f>IFERROR(VLOOKUP(A37,'School Tables'!$O$3:$P$122,2,FALSE),"")</f>
        <v>21040</v>
      </c>
      <c r="C37" s="297" t="str">
        <f t="array" ref="C37">IFERROR(INDEX('School Tables'!$N$3:$N$122,MATCH('School Level Expenditures'!B37,'School Tables'!$P$3:$P$122,0)),"")</f>
        <v>Merrimack</v>
      </c>
      <c r="D37" s="294">
        <f>23783629.92-2090335.37</f>
        <v>21693294.550000001</v>
      </c>
      <c r="E37" s="294">
        <v>104567</v>
      </c>
      <c r="F37" s="308">
        <f t="shared" ref="F37:F42" si="2">D37+E37</f>
        <v>21797861.550000001</v>
      </c>
      <c r="G37" s="297"/>
      <c r="H37" s="297"/>
      <c r="I37" s="126"/>
      <c r="N37"/>
    </row>
    <row r="38" spans="1:14" x14ac:dyDescent="0.2">
      <c r="A38" s="21" t="s">
        <v>1586</v>
      </c>
      <c r="B38" s="305">
        <f>IFERROR(VLOOKUP(A38,'School Tables'!$O$3:$P$122,2,FALSE),"")</f>
        <v>99999</v>
      </c>
      <c r="C38" s="297" t="str">
        <f t="array" ref="C38">IFERROR(INDEX('School Tables'!$N$3:$N$122,MATCH('School Level Expenditures'!B38,'School Tables'!$P$3:$P$122,0)),"")</f>
        <v>Other District Expenditures</v>
      </c>
      <c r="D38" s="294">
        <v>2090335.37</v>
      </c>
      <c r="E38" s="294"/>
      <c r="F38" s="308">
        <f t="shared" si="2"/>
        <v>2090335.37</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si="2"/>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2"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42" activePane="bottomLeft" state="frozen"/>
      <selection activeCell="F46" sqref="F46"/>
      <selection pane="bottomLeft" activeCell="I141" sqref="I14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Merrimack</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3479681</v>
      </c>
      <c r="D8" s="95">
        <f>'DOE25'!G9</f>
        <v>0</v>
      </c>
      <c r="E8" s="95">
        <f>'DOE25'!H9</f>
        <v>0</v>
      </c>
      <c r="F8" s="95">
        <f>'DOE25'!I9</f>
        <v>0</v>
      </c>
      <c r="G8" s="95">
        <f>'DOE25'!J9</f>
        <v>0</v>
      </c>
      <c r="H8" s="124"/>
      <c r="I8" s="124"/>
    </row>
    <row r="9" spans="1:9" x14ac:dyDescent="0.2">
      <c r="A9" s="1" t="s">
        <v>140</v>
      </c>
      <c r="B9" s="6">
        <v>110</v>
      </c>
      <c r="C9" s="95">
        <f>'DOE25'!F10</f>
        <v>0</v>
      </c>
      <c r="D9" s="95">
        <f>'DOE25'!G10</f>
        <v>0</v>
      </c>
      <c r="E9" s="95">
        <f>'DOE25'!H10</f>
        <v>184074</v>
      </c>
      <c r="F9" s="95">
        <f>'DOE25'!I10</f>
        <v>0</v>
      </c>
      <c r="G9" s="95">
        <f>'DOE25'!J10</f>
        <v>768055.47</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152097.24</v>
      </c>
      <c r="D11" s="95">
        <f>'DOE25'!G12</f>
        <v>0</v>
      </c>
      <c r="E11" s="95">
        <f>'DOE25'!H12</f>
        <v>0</v>
      </c>
      <c r="F11" s="95">
        <f>'DOE25'!I12</f>
        <v>0</v>
      </c>
      <c r="G11" s="95">
        <f>'DOE25'!J12</f>
        <v>0</v>
      </c>
      <c r="H11" s="124"/>
      <c r="I11" s="124"/>
    </row>
    <row r="12" spans="1:9" x14ac:dyDescent="0.2">
      <c r="A12" s="1" t="s">
        <v>143</v>
      </c>
      <c r="B12" s="6">
        <v>140</v>
      </c>
      <c r="C12" s="95">
        <f>'DOE25'!F13</f>
        <v>111501.45</v>
      </c>
      <c r="D12" s="95">
        <f>'DOE25'!G13</f>
        <v>32319.11</v>
      </c>
      <c r="E12" s="95">
        <f>'DOE25'!H13</f>
        <v>0</v>
      </c>
      <c r="F12" s="95">
        <f>'DOE25'!I13</f>
        <v>0</v>
      </c>
      <c r="G12" s="95">
        <f>'DOE25'!J13</f>
        <v>0</v>
      </c>
      <c r="H12" s="124"/>
      <c r="I12" s="124"/>
    </row>
    <row r="13" spans="1:9" x14ac:dyDescent="0.2">
      <c r="A13" s="1" t="s">
        <v>144</v>
      </c>
      <c r="B13" s="6">
        <v>150</v>
      </c>
      <c r="C13" s="95">
        <f>'DOE25'!F14</f>
        <v>1029.0999999999999</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3744308.7900000005</v>
      </c>
      <c r="D18" s="41">
        <f>SUM(D8:D17)</f>
        <v>32319.11</v>
      </c>
      <c r="E18" s="41">
        <f>SUM(E8:E17)</f>
        <v>184074</v>
      </c>
      <c r="F18" s="41">
        <f>SUM(F8:F17)</f>
        <v>0</v>
      </c>
      <c r="G18" s="41">
        <f>SUM(G8:G17)</f>
        <v>768055.47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175729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319950.71999999997</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319950.71999999997</v>
      </c>
      <c r="D31" s="41">
        <f>SUM(D21:D30)</f>
        <v>0</v>
      </c>
      <c r="E31" s="41">
        <f>SUM(E21:E30)</f>
        <v>175729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21839.07</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32319.11</v>
      </c>
      <c r="E42" s="95">
        <f>'DOE25'!H43</f>
        <v>0</v>
      </c>
      <c r="F42" s="95">
        <f>'DOE25'!I43</f>
        <v>0</v>
      </c>
      <c r="G42" s="95">
        <f>'DOE25'!J43</f>
        <v>0</v>
      </c>
      <c r="H42" s="124"/>
      <c r="I42" s="124"/>
    </row>
    <row r="43" spans="1:9" x14ac:dyDescent="0.2">
      <c r="A43" s="1" t="s">
        <v>863</v>
      </c>
      <c r="B43" s="6">
        <v>755</v>
      </c>
      <c r="C43" s="95">
        <f>'DOE25'!F44</f>
        <v>200000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8345</v>
      </c>
      <c r="F47" s="95">
        <f>'DOE25'!I48</f>
        <v>0</v>
      </c>
      <c r="G47" s="95">
        <f>'DOE25'!J48</f>
        <v>768055.47</v>
      </c>
      <c r="H47" s="124"/>
      <c r="I47" s="124"/>
    </row>
    <row r="48" spans="1:9" x14ac:dyDescent="0.2">
      <c r="A48" s="1" t="s">
        <v>882</v>
      </c>
      <c r="B48" s="6">
        <v>753</v>
      </c>
      <c r="C48" s="95">
        <f>'DOE25'!F49</f>
        <v>29651</v>
      </c>
      <c r="D48" s="95">
        <f>'DOE25'!G49</f>
        <v>0</v>
      </c>
      <c r="E48" s="95">
        <f>'DOE25'!H49</f>
        <v>0</v>
      </c>
      <c r="F48" s="95">
        <f>'DOE25'!I49</f>
        <v>0</v>
      </c>
      <c r="G48" s="95">
        <f>'DOE25'!J49</f>
        <v>0</v>
      </c>
      <c r="H48" s="124"/>
      <c r="I48" s="124"/>
    </row>
    <row r="49" spans="1:9" ht="12" thickBot="1" x14ac:dyDescent="0.25">
      <c r="A49" s="29" t="s">
        <v>883</v>
      </c>
      <c r="B49" s="71">
        <v>770</v>
      </c>
      <c r="C49" s="95">
        <f>'DOE25'!F50</f>
        <v>3172868</v>
      </c>
      <c r="D49" s="24" t="s">
        <v>288</v>
      </c>
      <c r="E49" s="24" t="s">
        <v>288</v>
      </c>
      <c r="F49" s="24" t="s">
        <v>288</v>
      </c>
      <c r="G49" s="24" t="s">
        <v>288</v>
      </c>
      <c r="H49" s="124"/>
      <c r="I49" s="124"/>
    </row>
    <row r="50" spans="1:9" ht="12.75" thickTop="1" thickBot="1" x14ac:dyDescent="0.25">
      <c r="A50" s="38" t="s">
        <v>884</v>
      </c>
      <c r="B50" s="48"/>
      <c r="C50" s="41">
        <f>SUM(C34:C49)</f>
        <v>3424358.07</v>
      </c>
      <c r="D50" s="41">
        <f>SUM(D34:D49)</f>
        <v>32319.11</v>
      </c>
      <c r="E50" s="41">
        <f>SUM(E34:E49)</f>
        <v>8345</v>
      </c>
      <c r="F50" s="41">
        <f>SUM(F34:F49)</f>
        <v>0</v>
      </c>
      <c r="G50" s="41">
        <f>SUM(G34:G49)</f>
        <v>768055.47</v>
      </c>
      <c r="H50" s="124"/>
      <c r="I50" s="124"/>
    </row>
    <row r="51" spans="1:9" ht="12" thickTop="1" x14ac:dyDescent="0.2">
      <c r="A51" s="38" t="s">
        <v>885</v>
      </c>
      <c r="B51" s="2"/>
      <c r="C51" s="41">
        <f>C50+C31</f>
        <v>3744308.79</v>
      </c>
      <c r="D51" s="41">
        <f>D50+D31</f>
        <v>32319.11</v>
      </c>
      <c r="E51" s="41">
        <f>E50+E31</f>
        <v>184074</v>
      </c>
      <c r="F51" s="41">
        <f>F50+F31</f>
        <v>0</v>
      </c>
      <c r="G51" s="41">
        <f>G50+G31</f>
        <v>768055.47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53547703</v>
      </c>
      <c r="D56" s="95">
        <f>'DOE25'!G60</f>
        <v>0</v>
      </c>
      <c r="E56" s="95">
        <f>'DOE25'!H60</f>
        <v>0</v>
      </c>
      <c r="F56" s="95">
        <f>'DOE25'!I60</f>
        <v>0</v>
      </c>
      <c r="G56" s="95">
        <f>'DOE25'!J60</f>
        <v>0</v>
      </c>
      <c r="H56"/>
      <c r="I56"/>
    </row>
    <row r="57" spans="1:9" x14ac:dyDescent="0.2">
      <c r="A57" s="1" t="s">
        <v>164</v>
      </c>
      <c r="B57" s="6" t="s">
        <v>165</v>
      </c>
      <c r="C57" s="95">
        <f>'DOE25'!F79</f>
        <v>270885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82844</v>
      </c>
      <c r="D59" s="95">
        <f>'DOE25'!G96</f>
        <v>0</v>
      </c>
      <c r="E59" s="95">
        <f>'DOE25'!H96</f>
        <v>0</v>
      </c>
      <c r="F59" s="95">
        <f>'DOE25'!I96</f>
        <v>0</v>
      </c>
      <c r="G59" s="95">
        <f>'DOE25'!J96</f>
        <v>13402.47</v>
      </c>
      <c r="H59"/>
      <c r="I59"/>
    </row>
    <row r="60" spans="1:9" x14ac:dyDescent="0.2">
      <c r="A60" s="1" t="s">
        <v>170</v>
      </c>
      <c r="B60" s="118" t="s">
        <v>171</v>
      </c>
      <c r="C60" s="24" t="s">
        <v>288</v>
      </c>
      <c r="D60" s="95">
        <f>'DOE25'!G97</f>
        <v>941292</v>
      </c>
      <c r="E60" s="24" t="s">
        <v>288</v>
      </c>
      <c r="F60" s="24" t="s">
        <v>288</v>
      </c>
      <c r="G60" s="24" t="s">
        <v>288</v>
      </c>
      <c r="H60"/>
      <c r="I60"/>
    </row>
    <row r="61" spans="1:9" ht="12" thickBot="1" x14ac:dyDescent="0.25">
      <c r="A61" s="1" t="s">
        <v>172</v>
      </c>
      <c r="B61" s="118" t="s">
        <v>173</v>
      </c>
      <c r="C61" s="95">
        <f>SUM('DOE25'!F98:F110)</f>
        <v>57366.6</v>
      </c>
      <c r="D61" s="95">
        <f>SUM('DOE25'!G98:G110)</f>
        <v>0</v>
      </c>
      <c r="E61" s="95">
        <f>SUM('DOE25'!H98:H110)</f>
        <v>10100</v>
      </c>
      <c r="F61" s="95">
        <f>SUM('DOE25'!I98:I110)</f>
        <v>0</v>
      </c>
      <c r="G61" s="95">
        <f>SUM('DOE25'!J98:J110)</f>
        <v>0</v>
      </c>
      <c r="H61"/>
      <c r="I61"/>
    </row>
    <row r="62" spans="1:9" ht="12.75" thickTop="1" thickBot="1" x14ac:dyDescent="0.25">
      <c r="A62" s="29" t="s">
        <v>174</v>
      </c>
      <c r="B62" s="6"/>
      <c r="C62" s="130">
        <f>SUM(C57:C61)</f>
        <v>411095.6</v>
      </c>
      <c r="D62" s="130">
        <f>SUM(D57:D61)</f>
        <v>941292</v>
      </c>
      <c r="E62" s="130">
        <f>SUM(E57:E61)</f>
        <v>10100</v>
      </c>
      <c r="F62" s="130">
        <f>SUM(F57:F61)</f>
        <v>0</v>
      </c>
      <c r="G62" s="130">
        <f>SUM(G57:G61)</f>
        <v>13402.47</v>
      </c>
      <c r="H62"/>
      <c r="I62"/>
    </row>
    <row r="63" spans="1:9" ht="12" thickTop="1" x14ac:dyDescent="0.2">
      <c r="A63" s="29" t="s">
        <v>175</v>
      </c>
      <c r="B63" s="6"/>
      <c r="C63" s="22">
        <f>C56+C62</f>
        <v>53958798.600000001</v>
      </c>
      <c r="D63" s="22">
        <f>D56+D62</f>
        <v>941292</v>
      </c>
      <c r="E63" s="22">
        <f>E56+E62</f>
        <v>10100</v>
      </c>
      <c r="F63" s="22">
        <f>F56+F62</f>
        <v>0</v>
      </c>
      <c r="G63" s="22">
        <f>G56+G62</f>
        <v>13402.47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8274377</v>
      </c>
      <c r="D66" s="24" t="s">
        <v>288</v>
      </c>
      <c r="E66" s="24" t="s">
        <v>288</v>
      </c>
      <c r="F66" s="24" t="s">
        <v>288</v>
      </c>
      <c r="G66" s="24" t="s">
        <v>288</v>
      </c>
      <c r="H66"/>
      <c r="I66"/>
    </row>
    <row r="67" spans="1:9" x14ac:dyDescent="0.2">
      <c r="A67" s="1" t="s">
        <v>770</v>
      </c>
      <c r="B67" s="6">
        <v>3112</v>
      </c>
      <c r="C67" s="95">
        <f>'DOE25'!F118</f>
        <v>7054459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22369</v>
      </c>
      <c r="D69" s="95">
        <f>'DOE25'!G120</f>
        <v>0</v>
      </c>
      <c r="E69" s="95">
        <f>'DOE25'!H120</f>
        <v>0</v>
      </c>
      <c r="F69" s="95">
        <f>'DOE25'!I120</f>
        <v>0</v>
      </c>
      <c r="G69" s="95">
        <f>'DOE25'!J120</f>
        <v>0</v>
      </c>
      <c r="H69"/>
      <c r="I69"/>
    </row>
    <row r="70" spans="1:9" ht="12" thickTop="1" x14ac:dyDescent="0.2">
      <c r="A70" s="29" t="s">
        <v>252</v>
      </c>
      <c r="B70" s="2"/>
      <c r="C70" s="139">
        <f>SUM(C66:C69)</f>
        <v>15351205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441973</v>
      </c>
      <c r="D72" s="24" t="s">
        <v>288</v>
      </c>
      <c r="E72" s="24" t="s">
        <v>288</v>
      </c>
      <c r="F72" s="95">
        <f>'DOE25'!I123</f>
        <v>0</v>
      </c>
      <c r="G72" s="24" t="s">
        <v>288</v>
      </c>
      <c r="H72"/>
      <c r="I72"/>
    </row>
    <row r="73" spans="1:9" x14ac:dyDescent="0.2">
      <c r="A73" s="1" t="s">
        <v>254</v>
      </c>
      <c r="B73" s="6">
        <v>3215</v>
      </c>
      <c r="C73" s="95">
        <f>'DOE25'!F124</f>
        <v>260700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836912</v>
      </c>
      <c r="D75" s="24" t="s">
        <v>288</v>
      </c>
      <c r="E75" s="24" t="s">
        <v>288</v>
      </c>
      <c r="F75" s="24" t="s">
        <v>288</v>
      </c>
      <c r="G75" s="24" t="s">
        <v>288</v>
      </c>
      <c r="H75"/>
      <c r="I75"/>
    </row>
    <row r="76" spans="1:9" x14ac:dyDescent="0.2">
      <c r="A76" s="1" t="s">
        <v>257</v>
      </c>
      <c r="B76" s="6" t="s">
        <v>179</v>
      </c>
      <c r="C76" s="95">
        <f>SUM('DOE25'!F127:F130)</f>
        <v>8996.4</v>
      </c>
      <c r="D76" s="24" t="s">
        <v>288</v>
      </c>
      <c r="E76" s="95">
        <f>SUM('DOE25'!H127:H130)</f>
        <v>0</v>
      </c>
      <c r="F76" s="95">
        <f>SUM('DOE25'!I127:I130)</f>
        <v>0</v>
      </c>
      <c r="G76" s="24" t="s">
        <v>288</v>
      </c>
      <c r="H76"/>
      <c r="I76"/>
    </row>
    <row r="77" spans="1:9" ht="12" thickBot="1" x14ac:dyDescent="0.25">
      <c r="A77" s="1" t="s">
        <v>258</v>
      </c>
      <c r="B77" s="6" t="s">
        <v>180</v>
      </c>
      <c r="C77" s="95">
        <f>SUM('DOE25'!F131:F135)</f>
        <v>38186</v>
      </c>
      <c r="D77" s="95">
        <f>SUM('DOE25'!G131:G135)</f>
        <v>16873</v>
      </c>
      <c r="E77" s="95">
        <f>SUM('DOE25'!H131:H135)</f>
        <v>0</v>
      </c>
      <c r="F77" s="95">
        <f>SUM('DOE25'!I131:I135)</f>
        <v>0</v>
      </c>
      <c r="G77" s="95">
        <f>SUM('DOE25'!J131:J135)</f>
        <v>0</v>
      </c>
      <c r="H77"/>
      <c r="I77"/>
    </row>
    <row r="78" spans="1:9" ht="12.75" thickTop="1" thickBot="1" x14ac:dyDescent="0.25">
      <c r="A78" s="29" t="s">
        <v>259</v>
      </c>
      <c r="B78" s="6"/>
      <c r="C78" s="130">
        <f>SUM(C72:C77)</f>
        <v>1586767.4</v>
      </c>
      <c r="D78" s="130">
        <f>SUM(D72:D77)</f>
        <v>16873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16937972.399999999</v>
      </c>
      <c r="D81" s="130">
        <f>SUM(D79:D80)+D78+D70</f>
        <v>16873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553940</v>
      </c>
      <c r="D88" s="95">
        <f>SUM('DOE25'!G153:G161)</f>
        <v>319958</v>
      </c>
      <c r="E88" s="95">
        <f>SUM('DOE25'!H153:H161)</f>
        <v>1324634</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553940</v>
      </c>
      <c r="D91" s="131">
        <f>SUM(D85:D90)</f>
        <v>319958</v>
      </c>
      <c r="E91" s="131">
        <f>SUM(E85:E90)</f>
        <v>1324634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150000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150000</v>
      </c>
    </row>
    <row r="104" spans="1:7" ht="12.75" thickTop="1" thickBot="1" x14ac:dyDescent="0.25">
      <c r="A104" s="33" t="s">
        <v>761</v>
      </c>
      <c r="C104" s="86">
        <f>C63+C81+C91+C103</f>
        <v>71450711</v>
      </c>
      <c r="D104" s="86">
        <f>D63+D81+D91+D103</f>
        <v>1278123</v>
      </c>
      <c r="E104" s="86">
        <f>E63+E81+E91+E103</f>
        <v>1334734</v>
      </c>
      <c r="F104" s="86">
        <f>F63+F81+F91+F103</f>
        <v>0</v>
      </c>
      <c r="G104" s="86">
        <f>G63+G81+G103</f>
        <v>163402.47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26948163.989811137</v>
      </c>
      <c r="D109" s="24" t="s">
        <v>288</v>
      </c>
      <c r="E109" s="95">
        <f>('DOE25'!L276)+('DOE25'!L295)+('DOE25'!L314)</f>
        <v>312711</v>
      </c>
      <c r="F109" s="24" t="s">
        <v>288</v>
      </c>
      <c r="G109" s="24" t="s">
        <v>288</v>
      </c>
    </row>
    <row r="110" spans="1:7" x14ac:dyDescent="0.2">
      <c r="A110" t="s">
        <v>198</v>
      </c>
      <c r="B110" s="32" t="s">
        <v>199</v>
      </c>
      <c r="C110" s="95">
        <f>('DOE25'!L198)+('DOE25'!L216)+('DOE25'!L234)</f>
        <v>17082323.939546473</v>
      </c>
      <c r="D110" s="24" t="s">
        <v>288</v>
      </c>
      <c r="E110" s="95">
        <f>('DOE25'!L277)+('DOE25'!L296)+('DOE25'!L315)</f>
        <v>0</v>
      </c>
      <c r="F110" s="24" t="s">
        <v>288</v>
      </c>
      <c r="G110" s="24" t="s">
        <v>288</v>
      </c>
    </row>
    <row r="111" spans="1:7" x14ac:dyDescent="0.2">
      <c r="A111" t="s">
        <v>200</v>
      </c>
      <c r="B111" s="32" t="s">
        <v>165</v>
      </c>
      <c r="C111" s="95">
        <f>('DOE25'!L199)+('DOE25'!L217)+('DOE25'!L235)</f>
        <v>40358.04</v>
      </c>
      <c r="D111" s="24" t="s">
        <v>288</v>
      </c>
      <c r="E111" s="95">
        <f>('DOE25'!L278)+('DOE25'!L297)+('DOE25'!L316)</f>
        <v>0</v>
      </c>
      <c r="F111" s="24" t="s">
        <v>288</v>
      </c>
      <c r="G111" s="24" t="s">
        <v>288</v>
      </c>
    </row>
    <row r="112" spans="1:7" x14ac:dyDescent="0.2">
      <c r="A112" t="s">
        <v>201</v>
      </c>
      <c r="B112" s="32" t="s">
        <v>167</v>
      </c>
      <c r="C112" s="95">
        <f>('DOE25'!L200)+('DOE25'!L218)+('DOE25'!L236)</f>
        <v>911552.45724792953</v>
      </c>
      <c r="D112" s="24" t="s">
        <v>288</v>
      </c>
      <c r="E112" s="95">
        <f>+('DOE25'!L279)+('DOE25'!L298)+('DOE25'!L317)</f>
        <v>35247</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26610.25</v>
      </c>
      <c r="D114" s="24" t="s">
        <v>288</v>
      </c>
      <c r="E114" s="95">
        <f>+ SUM('DOE25'!L333:L335)</f>
        <v>1755</v>
      </c>
      <c r="F114" s="24" t="s">
        <v>288</v>
      </c>
      <c r="G114" s="24" t="s">
        <v>288</v>
      </c>
    </row>
    <row r="115" spans="1:7" ht="12.75" thickTop="1" thickBot="1" x14ac:dyDescent="0.25">
      <c r="A115" s="33" t="s">
        <v>205</v>
      </c>
      <c r="C115" s="86">
        <f>SUM(C109:C114)</f>
        <v>45009008.676605538</v>
      </c>
      <c r="D115" s="86">
        <f>SUM(D109:D114)</f>
        <v>0</v>
      </c>
      <c r="E115" s="86">
        <f>SUM(E109:E114)</f>
        <v>349713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5341668.319828446</v>
      </c>
      <c r="D118" s="24" t="s">
        <v>288</v>
      </c>
      <c r="E118" s="95">
        <f>+('DOE25'!L281)+('DOE25'!L300)+('DOE25'!L319)</f>
        <v>618642</v>
      </c>
      <c r="F118" s="24" t="s">
        <v>288</v>
      </c>
      <c r="G118" s="24" t="s">
        <v>288</v>
      </c>
    </row>
    <row r="119" spans="1:7" x14ac:dyDescent="0.2">
      <c r="A119" t="s">
        <v>208</v>
      </c>
      <c r="B119" s="32" t="s">
        <v>209</v>
      </c>
      <c r="C119" s="95">
        <f>('DOE25'!L203)+('DOE25'!L221)+('DOE25'!L239)</f>
        <v>1592691.3847955139</v>
      </c>
      <c r="D119" s="24" t="s">
        <v>288</v>
      </c>
      <c r="E119" s="95">
        <f>+('DOE25'!L282)+('DOE25'!L301)+('DOE25'!L320)</f>
        <v>140114</v>
      </c>
      <c r="F119" s="24" t="s">
        <v>288</v>
      </c>
      <c r="G119" s="24" t="s">
        <v>288</v>
      </c>
    </row>
    <row r="120" spans="1:7" x14ac:dyDescent="0.2">
      <c r="A120" t="s">
        <v>210</v>
      </c>
      <c r="B120" s="32" t="s">
        <v>211</v>
      </c>
      <c r="C120" s="95">
        <f>('DOE25'!L204)+('DOE25'!L222)+('DOE25'!L240)</f>
        <v>2431211.2079771347</v>
      </c>
      <c r="D120" s="24" t="s">
        <v>288</v>
      </c>
      <c r="E120" s="95">
        <f>+('DOE25'!L283)+('DOE25'!L302)+('DOE25'!L321)</f>
        <v>168799</v>
      </c>
      <c r="F120" s="24" t="s">
        <v>288</v>
      </c>
      <c r="G120" s="24" t="s">
        <v>288</v>
      </c>
    </row>
    <row r="121" spans="1:7" x14ac:dyDescent="0.2">
      <c r="A121" t="s">
        <v>212</v>
      </c>
      <c r="B121" s="32" t="s">
        <v>213</v>
      </c>
      <c r="C121" s="95">
        <f>('DOE25'!L205)+('DOE25'!L223)+('DOE25'!L241)</f>
        <v>3368139.8312738691</v>
      </c>
      <c r="D121" s="24" t="s">
        <v>288</v>
      </c>
      <c r="E121" s="95">
        <f>+('DOE25'!L284)+('DOE25'!L303)+('DOE25'!L322)</f>
        <v>0</v>
      </c>
      <c r="F121" s="24" t="s">
        <v>288</v>
      </c>
      <c r="G121" s="24" t="s">
        <v>288</v>
      </c>
    </row>
    <row r="122" spans="1:7" x14ac:dyDescent="0.2">
      <c r="A122" t="s">
        <v>214</v>
      </c>
      <c r="B122" s="32" t="s">
        <v>215</v>
      </c>
      <c r="C122" s="95">
        <f>('DOE25'!L206)+('DOE25'!L224)+('DOE25'!L242)</f>
        <v>738603.66154303239</v>
      </c>
      <c r="D122" s="24" t="s">
        <v>288</v>
      </c>
      <c r="E122" s="95">
        <f>+('DOE25'!L285)+('DOE25'!L304)+('DOE25'!L323)</f>
        <v>0</v>
      </c>
      <c r="F122" s="24" t="s">
        <v>288</v>
      </c>
      <c r="G122" s="24" t="s">
        <v>288</v>
      </c>
    </row>
    <row r="123" spans="1:7" x14ac:dyDescent="0.2">
      <c r="A123" t="s">
        <v>216</v>
      </c>
      <c r="B123" s="32" t="s">
        <v>217</v>
      </c>
      <c r="C123" s="95">
        <f>('DOE25'!L207)+('DOE25'!L225)+('DOE25'!L243)</f>
        <v>5113269.6195196062</v>
      </c>
      <c r="D123" s="24" t="s">
        <v>288</v>
      </c>
      <c r="E123" s="95">
        <f>+('DOE25'!L286)+('DOE25'!L305)+('DOE25'!L324)</f>
        <v>0</v>
      </c>
      <c r="F123" s="24" t="s">
        <v>288</v>
      </c>
      <c r="G123" s="24" t="s">
        <v>288</v>
      </c>
    </row>
    <row r="124" spans="1:7" x14ac:dyDescent="0.2">
      <c r="A124" t="s">
        <v>218</v>
      </c>
      <c r="B124" s="32" t="s">
        <v>219</v>
      </c>
      <c r="C124" s="95">
        <f>('DOE25'!L208)+('DOE25'!L226)+('DOE25'!L244+'DOE25'!L254)</f>
        <v>3645871.4723402755</v>
      </c>
      <c r="D124" s="24" t="s">
        <v>288</v>
      </c>
      <c r="E124" s="95">
        <f>+('DOE25'!L287)+('DOE25'!L306)+('DOE25'!L325)</f>
        <v>0</v>
      </c>
      <c r="F124" s="24" t="s">
        <v>288</v>
      </c>
      <c r="G124" s="24" t="s">
        <v>288</v>
      </c>
    </row>
    <row r="125" spans="1:7" x14ac:dyDescent="0.2">
      <c r="A125" t="s">
        <v>220</v>
      </c>
      <c r="B125" s="32" t="s">
        <v>221</v>
      </c>
      <c r="C125" s="95">
        <f>('DOE25'!L209)+('DOE25'!L227)+('DOE25'!L245)</f>
        <v>174770.24611658274</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1285359.8900000001</v>
      </c>
      <c r="E127" s="24" t="s">
        <v>288</v>
      </c>
      <c r="F127" s="24" t="s">
        <v>288</v>
      </c>
      <c r="G127" s="24" t="s">
        <v>288</v>
      </c>
    </row>
    <row r="128" spans="1:7" ht="12.75" thickTop="1" thickBot="1" x14ac:dyDescent="0.25">
      <c r="A128" s="33" t="s">
        <v>226</v>
      </c>
      <c r="C128" s="86">
        <f>SUM(C118:C127)</f>
        <v>22406225.743394457</v>
      </c>
      <c r="D128" s="86">
        <f>SUM(D118:D127)</f>
        <v>1285359.8900000001</v>
      </c>
      <c r="E128" s="86">
        <f>SUM(E118:E127)</f>
        <v>927555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2302942.4500000002</v>
      </c>
      <c r="D130" s="24" t="s">
        <v>288</v>
      </c>
      <c r="E130" s="129">
        <f>'DOE25'!L336</f>
        <v>0</v>
      </c>
      <c r="F130" s="129">
        <f>SUM('DOE25'!L374:'DOE25'!L380)</f>
        <v>0</v>
      </c>
      <c r="G130" s="24" t="s">
        <v>288</v>
      </c>
    </row>
    <row r="131" spans="1:7" x14ac:dyDescent="0.2">
      <c r="A131" t="s">
        <v>229</v>
      </c>
      <c r="B131" s="32">
        <v>5110</v>
      </c>
      <c r="C131" s="95">
        <f>'DOE25'!L260</f>
        <v>1070000</v>
      </c>
      <c r="D131" s="24" t="s">
        <v>288</v>
      </c>
      <c r="E131" s="129">
        <f>'DOE25'!L341</f>
        <v>0</v>
      </c>
      <c r="F131" s="24" t="s">
        <v>288</v>
      </c>
      <c r="G131" s="24" t="s">
        <v>288</v>
      </c>
    </row>
    <row r="132" spans="1:7" x14ac:dyDescent="0.2">
      <c r="A132" t="s">
        <v>230</v>
      </c>
      <c r="B132" s="32">
        <v>5120</v>
      </c>
      <c r="C132" s="95">
        <f>'DOE25'!L261</f>
        <v>205435.25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49121</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163402.47</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-13402.470000000001</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3728377.7</v>
      </c>
      <c r="D144" s="141">
        <f>SUM(D130:D143)</f>
        <v>0</v>
      </c>
      <c r="E144" s="141">
        <f>SUM(E130:E143)</f>
        <v>49121</v>
      </c>
      <c r="F144" s="141">
        <f>SUM(F130:F143)</f>
        <v>0</v>
      </c>
      <c r="G144" s="141">
        <f>SUM(G130:G143)</f>
        <v>0</v>
      </c>
    </row>
    <row r="145" spans="1:9" ht="12.75" thickTop="1" thickBot="1" x14ac:dyDescent="0.25">
      <c r="A145" s="33" t="s">
        <v>244</v>
      </c>
      <c r="C145" s="86">
        <f>(C115+C128+C144)</f>
        <v>71143612.11999999</v>
      </c>
      <c r="D145" s="86">
        <f>(D115+D128+D144)</f>
        <v>1285359.8900000001</v>
      </c>
      <c r="E145" s="86">
        <f>(E115+E128+E144)</f>
        <v>1326389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20</v>
      </c>
      <c r="D151" s="153">
        <f>'DOE25'!H490</f>
        <v>12</v>
      </c>
      <c r="E151" s="153">
        <f>'DOE25'!I490</f>
        <v>0</v>
      </c>
      <c r="F151" s="153">
        <f>'DOE25'!J490</f>
        <v>0</v>
      </c>
      <c r="G151" s="24" t="s">
        <v>288</v>
      </c>
    </row>
    <row r="152" spans="1:9" x14ac:dyDescent="0.2">
      <c r="A152" s="136" t="s">
        <v>28</v>
      </c>
      <c r="B152" s="152" t="str">
        <f>'DOE25'!F491</f>
        <v>2/01</v>
      </c>
      <c r="C152" s="152" t="str">
        <f>'DOE25'!G491</f>
        <v>2/04</v>
      </c>
      <c r="D152" s="152" t="str">
        <f>'DOE25'!H491</f>
        <v>07/07</v>
      </c>
      <c r="E152" s="152">
        <f>'DOE25'!I491</f>
        <v>0</v>
      </c>
      <c r="F152" s="152">
        <f>'DOE25'!J491</f>
        <v>0</v>
      </c>
      <c r="G152" s="24" t="s">
        <v>288</v>
      </c>
    </row>
    <row r="153" spans="1:9" x14ac:dyDescent="0.2">
      <c r="A153" s="136" t="s">
        <v>29</v>
      </c>
      <c r="B153" s="152" t="str">
        <f>'DOE25'!F492</f>
        <v>8/20</v>
      </c>
      <c r="C153" s="152" t="str">
        <f>'DOE25'!G492</f>
        <v>8/23</v>
      </c>
      <c r="D153" s="152" t="str">
        <f>'DOE25'!H492</f>
        <v>07/20</v>
      </c>
      <c r="E153" s="152">
        <f>'DOE25'!I492</f>
        <v>0</v>
      </c>
      <c r="F153" s="152">
        <f>'DOE25'!J492</f>
        <v>0</v>
      </c>
      <c r="G153" s="24" t="s">
        <v>288</v>
      </c>
    </row>
    <row r="154" spans="1:9" x14ac:dyDescent="0.2">
      <c r="A154" s="136" t="s">
        <v>30</v>
      </c>
      <c r="B154" s="137">
        <f>'DOE25'!F493</f>
        <v>5915851</v>
      </c>
      <c r="C154" s="137">
        <f>'DOE25'!G493</f>
        <v>15525000</v>
      </c>
      <c r="D154" s="137">
        <f>'DOE25'!H493</f>
        <v>3675816</v>
      </c>
      <c r="E154" s="137">
        <f>'DOE25'!I493</f>
        <v>0</v>
      </c>
      <c r="F154" s="137">
        <f>'DOE25'!J493</f>
        <v>0</v>
      </c>
      <c r="G154" s="24" t="s">
        <v>288</v>
      </c>
    </row>
    <row r="155" spans="1:9" x14ac:dyDescent="0.2">
      <c r="A155" s="136" t="s">
        <v>31</v>
      </c>
      <c r="B155" s="137">
        <f>'DOE25'!F494</f>
        <v>5.31</v>
      </c>
      <c r="C155" s="137">
        <f>'DOE25'!G494</f>
        <v>3.52</v>
      </c>
      <c r="D155" s="137">
        <f>'DOE25'!H494</f>
        <v>4.4800000000000004</v>
      </c>
      <c r="E155" s="137">
        <f>'DOE25'!I494</f>
        <v>0</v>
      </c>
      <c r="F155" s="137">
        <f>'DOE25'!J494</f>
        <v>0</v>
      </c>
      <c r="G155" s="24" t="s">
        <v>288</v>
      </c>
    </row>
    <row r="156" spans="1:9" x14ac:dyDescent="0.2">
      <c r="A156" s="22" t="s">
        <v>32</v>
      </c>
      <c r="B156" s="137">
        <f>'DOE25'!F495</f>
        <v>649000</v>
      </c>
      <c r="C156" s="137">
        <f>'DOE25'!G495</f>
        <v>3875000</v>
      </c>
      <c r="D156" s="137">
        <f>'DOE25'!H495</f>
        <v>977472</v>
      </c>
      <c r="E156" s="137">
        <f>'DOE25'!I495</f>
        <v>0</v>
      </c>
      <c r="F156" s="137">
        <f>'DOE25'!J495</f>
        <v>0</v>
      </c>
      <c r="G156" s="138">
        <f>SUM(B156:F156)</f>
        <v>5501472</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295000</v>
      </c>
      <c r="C158" s="137">
        <f>'DOE25'!G497</f>
        <v>775000</v>
      </c>
      <c r="D158" s="137">
        <f>'DOE25'!H497</f>
        <v>245382</v>
      </c>
      <c r="E158" s="137">
        <f>'DOE25'!I497</f>
        <v>0</v>
      </c>
      <c r="F158" s="137">
        <f>'DOE25'!J497</f>
        <v>0</v>
      </c>
      <c r="G158" s="138">
        <f t="shared" si="0"/>
        <v>1315382</v>
      </c>
    </row>
    <row r="159" spans="1:9" x14ac:dyDescent="0.2">
      <c r="A159" s="22" t="s">
        <v>35</v>
      </c>
      <c r="B159" s="137">
        <f>'DOE25'!F498</f>
        <v>649000</v>
      </c>
      <c r="C159" s="137">
        <f>'DOE25'!G498</f>
        <v>3875000</v>
      </c>
      <c r="D159" s="137">
        <f>'DOE25'!H498</f>
        <v>977472</v>
      </c>
      <c r="E159" s="137">
        <f>'DOE25'!I498</f>
        <v>0</v>
      </c>
      <c r="F159" s="137">
        <f>'DOE25'!J498</f>
        <v>0</v>
      </c>
      <c r="G159" s="138">
        <f t="shared" si="0"/>
        <v>5501472</v>
      </c>
    </row>
    <row r="160" spans="1:9" x14ac:dyDescent="0.2">
      <c r="A160" s="22" t="s">
        <v>36</v>
      </c>
      <c r="B160" s="137">
        <f>'DOE25'!F499</f>
        <v>59650</v>
      </c>
      <c r="C160" s="137">
        <f>'DOE25'!G499</f>
        <v>833125</v>
      </c>
      <c r="D160" s="137">
        <f>'DOE25'!H499</f>
        <v>96287</v>
      </c>
      <c r="E160" s="137">
        <f>'DOE25'!I499</f>
        <v>0</v>
      </c>
      <c r="F160" s="137">
        <f>'DOE25'!J499</f>
        <v>0</v>
      </c>
      <c r="G160" s="138">
        <f t="shared" si="0"/>
        <v>989062</v>
      </c>
    </row>
    <row r="161" spans="1:7" x14ac:dyDescent="0.2">
      <c r="A161" s="22" t="s">
        <v>37</v>
      </c>
      <c r="B161" s="137">
        <f>'DOE25'!F500</f>
        <v>708650</v>
      </c>
      <c r="C161" s="137">
        <f>'DOE25'!G500</f>
        <v>4708125</v>
      </c>
      <c r="D161" s="137">
        <f>'DOE25'!H500</f>
        <v>1073759</v>
      </c>
      <c r="E161" s="137">
        <f>'DOE25'!I500</f>
        <v>0</v>
      </c>
      <c r="F161" s="137">
        <f>'DOE25'!J500</f>
        <v>0</v>
      </c>
      <c r="G161" s="138">
        <f t="shared" si="0"/>
        <v>6490534</v>
      </c>
    </row>
    <row r="162" spans="1:7" x14ac:dyDescent="0.2">
      <c r="A162" s="22" t="s">
        <v>38</v>
      </c>
      <c r="B162" s="137">
        <f>'DOE25'!F501</f>
        <v>295000</v>
      </c>
      <c r="C162" s="137">
        <f>'DOE25'!G501</f>
        <v>775000</v>
      </c>
      <c r="D162" s="137">
        <f>'DOE25'!H501</f>
        <v>245382</v>
      </c>
      <c r="E162" s="137">
        <f>'DOE25'!I501</f>
        <v>0</v>
      </c>
      <c r="F162" s="137">
        <f>'DOE25'!J501</f>
        <v>0</v>
      </c>
      <c r="G162" s="138">
        <f t="shared" si="0"/>
        <v>1315382</v>
      </c>
    </row>
    <row r="163" spans="1:7" x14ac:dyDescent="0.2">
      <c r="A163" s="22" t="s">
        <v>39</v>
      </c>
      <c r="B163" s="137">
        <f>'DOE25'!F502</f>
        <v>25338</v>
      </c>
      <c r="C163" s="137">
        <f>'DOE25'!G502</f>
        <v>154032</v>
      </c>
      <c r="D163" s="137">
        <f>'DOE25'!H502</f>
        <v>67535</v>
      </c>
      <c r="E163" s="137">
        <f>'DOE25'!I502</f>
        <v>0</v>
      </c>
      <c r="F163" s="137">
        <f>'DOE25'!J502</f>
        <v>0</v>
      </c>
      <c r="G163" s="138">
        <f t="shared" si="0"/>
        <v>246905</v>
      </c>
    </row>
    <row r="164" spans="1:7" x14ac:dyDescent="0.2">
      <c r="A164" s="22" t="s">
        <v>246</v>
      </c>
      <c r="B164" s="137">
        <f>'DOE25'!F503</f>
        <v>320338</v>
      </c>
      <c r="C164" s="137">
        <f>'DOE25'!G503</f>
        <v>929032</v>
      </c>
      <c r="D164" s="137">
        <f>'DOE25'!H503</f>
        <v>312917</v>
      </c>
      <c r="E164" s="137">
        <f>'DOE25'!I503</f>
        <v>0</v>
      </c>
      <c r="F164" s="137">
        <f>'DOE25'!J503</f>
        <v>0</v>
      </c>
      <c r="G164" s="138">
        <f t="shared" si="0"/>
        <v>1562287</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Merrimack</v>
      </c>
    </row>
    <row r="3" spans="1:4" x14ac:dyDescent="0.2">
      <c r="B3" s="188" t="s">
        <v>1602</v>
      </c>
    </row>
    <row r="4" spans="1:4" x14ac:dyDescent="0.2">
      <c r="B4" t="s">
        <v>61</v>
      </c>
      <c r="C4" s="179">
        <f>IF('DOE25'!F665+'DOE25'!F670=0,0,ROUND('DOE25'!F672,0))</f>
        <v>16501</v>
      </c>
    </row>
    <row r="5" spans="1:4" x14ac:dyDescent="0.2">
      <c r="B5" t="s">
        <v>700</v>
      </c>
      <c r="C5" s="179">
        <f>IF('DOE25'!G665+'DOE25'!G670=0,0,ROUND('DOE25'!G672,0))</f>
        <v>17650</v>
      </c>
    </row>
    <row r="6" spans="1:4" x14ac:dyDescent="0.2">
      <c r="B6" t="s">
        <v>62</v>
      </c>
      <c r="C6" s="179">
        <f>IF('DOE25'!H665+'DOE25'!H670=0,0,ROUND('DOE25'!H672,0))</f>
        <v>16814</v>
      </c>
    </row>
    <row r="7" spans="1:4" x14ac:dyDescent="0.2">
      <c r="B7" t="s">
        <v>701</v>
      </c>
      <c r="C7" s="179">
        <f>IF('DOE25'!I665+'DOE25'!I670=0,0,ROUND('DOE25'!I672,0))</f>
        <v>16779</v>
      </c>
    </row>
    <row r="9" spans="1:4" x14ac:dyDescent="0.2">
      <c r="A9" s="187" t="s">
        <v>94</v>
      </c>
      <c r="B9" s="188" t="s">
        <v>1603</v>
      </c>
      <c r="C9" s="181" t="s">
        <v>720</v>
      </c>
      <c r="D9" s="181" t="s">
        <v>721</v>
      </c>
    </row>
    <row r="10" spans="1:4" x14ac:dyDescent="0.2">
      <c r="A10">
        <v>1100</v>
      </c>
      <c r="B10" t="s">
        <v>702</v>
      </c>
      <c r="C10" s="179">
        <f>ROUND('DOE25'!L197+'DOE25'!L215+'DOE25'!L233+'DOE25'!L276+'DOE25'!L295+'DOE25'!L314,0)</f>
        <v>27260875</v>
      </c>
      <c r="D10" s="182">
        <f>ROUND((C10/$C$28)*100,1)</f>
        <v>39.4</v>
      </c>
    </row>
    <row r="11" spans="1:4" x14ac:dyDescent="0.2">
      <c r="A11">
        <v>1200</v>
      </c>
      <c r="B11" t="s">
        <v>703</v>
      </c>
      <c r="C11" s="179">
        <f>ROUND('DOE25'!L198+'DOE25'!L216+'DOE25'!L234+'DOE25'!L277+'DOE25'!L296+'DOE25'!L315,0)</f>
        <v>17082324</v>
      </c>
      <c r="D11" s="182">
        <f>ROUND((C11/$C$28)*100,1)</f>
        <v>24.7</v>
      </c>
    </row>
    <row r="12" spans="1:4" x14ac:dyDescent="0.2">
      <c r="A12">
        <v>1300</v>
      </c>
      <c r="B12" t="s">
        <v>704</v>
      </c>
      <c r="C12" s="179">
        <f>ROUND('DOE25'!L199+'DOE25'!L217+'DOE25'!L235+'DOE25'!L278+'DOE25'!L297+'DOE25'!L316,0)</f>
        <v>40358</v>
      </c>
      <c r="D12" s="182">
        <f>ROUND((C12/$C$28)*100,1)</f>
        <v>0.1</v>
      </c>
    </row>
    <row r="13" spans="1:4" x14ac:dyDescent="0.2">
      <c r="A13">
        <v>1400</v>
      </c>
      <c r="B13" t="s">
        <v>705</v>
      </c>
      <c r="C13" s="179">
        <f>ROUND('DOE25'!L200+'DOE25'!L218+'DOE25'!L236+'DOE25'!L279+'DOE25'!L298+'DOE25'!L317,0)</f>
        <v>946799</v>
      </c>
      <c r="D13" s="182">
        <f>ROUND((C13/$C$28)*100,1)</f>
        <v>1.4</v>
      </c>
    </row>
    <row r="14" spans="1:4" x14ac:dyDescent="0.2">
      <c r="D14" s="182"/>
    </row>
    <row r="15" spans="1:4" x14ac:dyDescent="0.2">
      <c r="A15">
        <v>2100</v>
      </c>
      <c r="B15" t="s">
        <v>706</v>
      </c>
      <c r="C15" s="179">
        <f>ROUND('DOE25'!L202+'DOE25'!L220+'DOE25'!L238+'DOE25'!L281+'DOE25'!L300+'DOE25'!L319,0)</f>
        <v>5960310</v>
      </c>
      <c r="D15" s="182">
        <f t="shared" ref="D15:D27" si="0">ROUND((C15/$C$28)*100,1)</f>
        <v>8.6</v>
      </c>
    </row>
    <row r="16" spans="1:4" x14ac:dyDescent="0.2">
      <c r="A16">
        <v>2200</v>
      </c>
      <c r="B16" t="s">
        <v>707</v>
      </c>
      <c r="C16" s="179">
        <f>ROUND('DOE25'!L203+'DOE25'!L221+'DOE25'!L239+'DOE25'!L282+'DOE25'!L301+'DOE25'!L320,0)</f>
        <v>1732805</v>
      </c>
      <c r="D16" s="182">
        <f t="shared" si="0"/>
        <v>2.5</v>
      </c>
    </row>
    <row r="17" spans="1:4" x14ac:dyDescent="0.2">
      <c r="A17" s="183" t="s">
        <v>723</v>
      </c>
      <c r="B17" t="s">
        <v>738</v>
      </c>
      <c r="C17" s="179">
        <f>ROUND('DOE25'!L204+'DOE25'!L209+'DOE25'!L222+'DOE25'!L227+'DOE25'!L240+'DOE25'!L245+'DOE25'!L283+'DOE25'!L288+'DOE25'!L302+'DOE25'!L307+'DOE25'!L321+'DOE25'!L326,0)</f>
        <v>2774780</v>
      </c>
      <c r="D17" s="182">
        <f t="shared" si="0"/>
        <v>4</v>
      </c>
    </row>
    <row r="18" spans="1:4" x14ac:dyDescent="0.2">
      <c r="A18">
        <v>2400</v>
      </c>
      <c r="B18" t="s">
        <v>711</v>
      </c>
      <c r="C18" s="179">
        <f>ROUND('DOE25'!L205+'DOE25'!L223+'DOE25'!L241+'DOE25'!L284+'DOE25'!L303+'DOE25'!L322,0)</f>
        <v>3368140</v>
      </c>
      <c r="D18" s="182">
        <f t="shared" si="0"/>
        <v>4.9000000000000004</v>
      </c>
    </row>
    <row r="19" spans="1:4" x14ac:dyDescent="0.2">
      <c r="A19">
        <v>2500</v>
      </c>
      <c r="B19" t="s">
        <v>708</v>
      </c>
      <c r="C19" s="179">
        <f>ROUND('DOE25'!L206+'DOE25'!L224+'DOE25'!L242+'DOE25'!L285+'DOE25'!L304+'DOE25'!L323,0)</f>
        <v>738604</v>
      </c>
      <c r="D19" s="182">
        <f t="shared" si="0"/>
        <v>1.1000000000000001</v>
      </c>
    </row>
    <row r="20" spans="1:4" x14ac:dyDescent="0.2">
      <c r="A20">
        <v>2600</v>
      </c>
      <c r="B20" t="s">
        <v>709</v>
      </c>
      <c r="C20" s="179">
        <f>ROUND('DOE25'!L207+'DOE25'!L225+'DOE25'!L243+'DOE25'!L286+'DOE25'!L305+'DOE25'!L324,0)</f>
        <v>5113270</v>
      </c>
      <c r="D20" s="182">
        <f t="shared" si="0"/>
        <v>7.4</v>
      </c>
    </row>
    <row r="21" spans="1:4" x14ac:dyDescent="0.2">
      <c r="A21">
        <v>2700</v>
      </c>
      <c r="B21" t="s">
        <v>710</v>
      </c>
      <c r="C21" s="179">
        <f>ROUND('DOE25'!L208+'DOE25'!L226+'DOE25'!L244+'DOE25'!L287+'DOE25'!L306+'DOE25'!L325,0)</f>
        <v>3645871</v>
      </c>
      <c r="D21" s="182">
        <f t="shared" si="0"/>
        <v>5.3</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28365</v>
      </c>
      <c r="D24" s="182">
        <f t="shared" si="0"/>
        <v>0</v>
      </c>
    </row>
    <row r="25" spans="1:4" x14ac:dyDescent="0.2">
      <c r="A25">
        <v>5120</v>
      </c>
      <c r="B25" t="s">
        <v>716</v>
      </c>
      <c r="C25" s="179">
        <f>ROUND('DOE25'!L261+'DOE25'!L342,0)</f>
        <v>205435</v>
      </c>
      <c r="D25" s="182">
        <f t="shared" si="0"/>
        <v>0.3</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344068</v>
      </c>
      <c r="D27" s="182">
        <f t="shared" si="0"/>
        <v>0.5</v>
      </c>
    </row>
    <row r="28" spans="1:4" x14ac:dyDescent="0.2">
      <c r="B28" s="187" t="s">
        <v>719</v>
      </c>
      <c r="C28" s="180">
        <f>SUM(C10:C27)</f>
        <v>69242004</v>
      </c>
      <c r="D28" s="184">
        <f>ROUND(SUM(D10:D27),0)</f>
        <v>100</v>
      </c>
    </row>
    <row r="29" spans="1:4" x14ac:dyDescent="0.2">
      <c r="A29">
        <v>4000</v>
      </c>
      <c r="B29" t="s">
        <v>724</v>
      </c>
      <c r="C29" s="179">
        <f>ROUND('DOE25'!L255+'DOE25'!L336+'DOE25'!L374+'DOE25'!L375+'DOE25'!L376+'DOE25'!L377+'DOE25'!L378+'DOE25'!L379+'DOE25'!L380,0)</f>
        <v>2302942</v>
      </c>
    </row>
    <row r="30" spans="1:4" x14ac:dyDescent="0.2">
      <c r="B30" s="187" t="s">
        <v>725</v>
      </c>
      <c r="C30" s="180">
        <f>SUM(C28:C29)</f>
        <v>71544946</v>
      </c>
    </row>
    <row r="31" spans="1:4" x14ac:dyDescent="0.2">
      <c r="B31" s="33"/>
      <c r="C31" s="180"/>
    </row>
    <row r="32" spans="1:4" x14ac:dyDescent="0.2">
      <c r="A32">
        <v>5100</v>
      </c>
      <c r="B32" s="33" t="s">
        <v>726</v>
      </c>
      <c r="C32" s="180">
        <f>ROUND('DOE25'!L260+'DOE25'!L341,0)</f>
        <v>1070000</v>
      </c>
    </row>
    <row r="34" spans="1:4" x14ac:dyDescent="0.2">
      <c r="A34" s="187" t="s">
        <v>94</v>
      </c>
      <c r="B34" s="188" t="s">
        <v>1604</v>
      </c>
      <c r="C34" s="181" t="s">
        <v>720</v>
      </c>
      <c r="D34" s="181" t="s">
        <v>721</v>
      </c>
    </row>
    <row r="35" spans="1:4" x14ac:dyDescent="0.2">
      <c r="A35">
        <v>1100</v>
      </c>
      <c r="B35" s="185" t="s">
        <v>727</v>
      </c>
      <c r="C35" s="179">
        <f>ROUND('DOE25'!F60+'DOE25'!G60+'DOE25'!H60+'DOE25'!I60+'DOE25'!J60,0)</f>
        <v>53547703</v>
      </c>
      <c r="D35" s="182">
        <f t="shared" ref="D35:D40" si="1">ROUND((C35/$C$41)*100,1)</f>
        <v>73.2</v>
      </c>
    </row>
    <row r="36" spans="1:4" x14ac:dyDescent="0.2">
      <c r="B36" s="185" t="s">
        <v>739</v>
      </c>
      <c r="C36" s="179">
        <f>SUM('DOE25'!F112:J112)-SUM('DOE25'!G97:G110)+('DOE25'!F174+'DOE25'!F175+'DOE25'!I174+'DOE25'!I175)-C35</f>
        <v>434598.0700000003</v>
      </c>
      <c r="D36" s="182">
        <f t="shared" si="1"/>
        <v>0.6</v>
      </c>
    </row>
    <row r="37" spans="1:4" x14ac:dyDescent="0.2">
      <c r="A37" s="183" t="s">
        <v>835</v>
      </c>
      <c r="B37" s="185" t="s">
        <v>728</v>
      </c>
      <c r="C37" s="179">
        <f>ROUND('DOE25'!F117+'DOE25'!F118,0)</f>
        <v>15328836</v>
      </c>
      <c r="D37" s="182">
        <f t="shared" si="1"/>
        <v>21</v>
      </c>
    </row>
    <row r="38" spans="1:4" x14ac:dyDescent="0.2">
      <c r="A38" s="183" t="s">
        <v>734</v>
      </c>
      <c r="B38" s="185" t="s">
        <v>729</v>
      </c>
      <c r="C38" s="179">
        <f>ROUND(SUM('DOE25'!F140:J140)-SUM('DOE25'!F117:F119),0)</f>
        <v>1626009</v>
      </c>
      <c r="D38" s="182">
        <f t="shared" si="1"/>
        <v>2.2000000000000002</v>
      </c>
    </row>
    <row r="39" spans="1:4" x14ac:dyDescent="0.2">
      <c r="A39">
        <v>4000</v>
      </c>
      <c r="B39" s="185" t="s">
        <v>730</v>
      </c>
      <c r="C39" s="179">
        <f>ROUND('DOE25'!F169+'DOE25'!G169+'DOE25'!H169+'DOE25'!I169,0)</f>
        <v>2198532</v>
      </c>
      <c r="D39" s="182">
        <f t="shared" si="1"/>
        <v>3</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73135678.069999993</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Merrimack</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2019-10-31T14:59:06Z</cp:lastPrinted>
  <dcterms:created xsi:type="dcterms:W3CDTF">1997-12-04T19:04:30Z</dcterms:created>
  <dcterms:modified xsi:type="dcterms:W3CDTF">2020-10-13T18:26:34Z</dcterms:modified>
</cp:coreProperties>
</file>