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14" l="1"/>
  <c r="D8" i="14"/>
  <c r="D7" i="14"/>
  <c r="D6" i="14"/>
  <c r="D5" i="14"/>
  <c r="D37" i="14"/>
  <c r="D25" i="14"/>
  <c r="C37" i="12" l="1"/>
  <c r="C38" i="12"/>
  <c r="C19" i="12"/>
  <c r="C20" i="12"/>
  <c r="C10" i="12"/>
  <c r="C11" i="12"/>
  <c r="F110" i="1"/>
  <c r="F564" i="1" l="1"/>
  <c r="F563" i="1"/>
  <c r="F562" i="1"/>
  <c r="H538" i="1"/>
  <c r="H537" i="1"/>
  <c r="H536" i="1"/>
  <c r="H533" i="1"/>
  <c r="H532" i="1"/>
  <c r="H531" i="1"/>
  <c r="F533" i="1"/>
  <c r="F532" i="1"/>
  <c r="F531" i="1"/>
  <c r="F527" i="1"/>
  <c r="F526" i="1"/>
  <c r="H528" i="1"/>
  <c r="H527" i="1"/>
  <c r="H526" i="1"/>
  <c r="J523" i="1"/>
  <c r="J522" i="1"/>
  <c r="J521" i="1"/>
  <c r="I523" i="1"/>
  <c r="I522" i="1"/>
  <c r="I521" i="1"/>
  <c r="H523" i="1"/>
  <c r="H522" i="1"/>
  <c r="H521" i="1"/>
  <c r="F523" i="1"/>
  <c r="F522" i="1"/>
  <c r="F521" i="1"/>
  <c r="H244" i="1"/>
  <c r="H226" i="1"/>
  <c r="J604" i="1"/>
  <c r="I604" i="1"/>
  <c r="H604" i="1"/>
  <c r="J597" i="1"/>
  <c r="H597" i="1"/>
  <c r="I597" i="1"/>
  <c r="J595" i="1"/>
  <c r="I595" i="1"/>
  <c r="H595" i="1"/>
  <c r="H593" i="1"/>
  <c r="I593" i="1"/>
  <c r="J593" i="1"/>
  <c r="J592" i="1"/>
  <c r="I592" i="1"/>
  <c r="H592" i="1"/>
  <c r="J591" i="1"/>
  <c r="I591" i="1"/>
  <c r="H591" i="1"/>
  <c r="H367" i="1" l="1"/>
  <c r="H368" i="1"/>
  <c r="F368" i="1"/>
  <c r="G368" i="1"/>
  <c r="F367" i="1"/>
  <c r="J96" i="1"/>
  <c r="J110" i="1"/>
  <c r="I360" i="1"/>
  <c r="F473" i="1"/>
  <c r="F28" i="1" l="1"/>
  <c r="G233" i="1"/>
  <c r="F244" i="1"/>
  <c r="F226" i="1"/>
  <c r="F208" i="1"/>
  <c r="I243" i="1"/>
  <c r="I225" i="1"/>
  <c r="I207" i="1"/>
  <c r="H243" i="1"/>
  <c r="H225" i="1"/>
  <c r="H207" i="1"/>
  <c r="F243" i="1"/>
  <c r="F225" i="1"/>
  <c r="F207" i="1"/>
  <c r="I223" i="1"/>
  <c r="I205" i="1"/>
  <c r="H240" i="1"/>
  <c r="H204" i="1"/>
  <c r="J239" i="1"/>
  <c r="J221" i="1"/>
  <c r="I239" i="1"/>
  <c r="I221" i="1"/>
  <c r="I203" i="1"/>
  <c r="H239" i="1"/>
  <c r="H203" i="1"/>
  <c r="F239" i="1"/>
  <c r="F221" i="1"/>
  <c r="F203" i="1"/>
  <c r="I238" i="1"/>
  <c r="I220" i="1"/>
  <c r="I202" i="1"/>
  <c r="H238" i="1"/>
  <c r="H220" i="1"/>
  <c r="H202" i="1"/>
  <c r="F238" i="1"/>
  <c r="F220" i="1"/>
  <c r="F202" i="1"/>
  <c r="K236" i="1"/>
  <c r="K218" i="1"/>
  <c r="J234" i="1"/>
  <c r="I234" i="1"/>
  <c r="I216" i="1"/>
  <c r="I198" i="1"/>
  <c r="H234" i="1"/>
  <c r="H216" i="1"/>
  <c r="H198" i="1"/>
  <c r="F234" i="1"/>
  <c r="F216" i="1"/>
  <c r="F198" i="1"/>
  <c r="I233" i="1"/>
  <c r="I215" i="1"/>
  <c r="I197" i="1"/>
  <c r="F233" i="1"/>
  <c r="F215" i="1"/>
  <c r="F197" i="1"/>
  <c r="F96" i="1"/>
  <c r="F57" i="1"/>
  <c r="F14" i="1"/>
  <c r="F10" i="1"/>
  <c r="F9" i="1"/>
  <c r="H320" i="1"/>
  <c r="H12" i="1"/>
  <c r="H22" i="1"/>
  <c r="H30" i="1"/>
  <c r="H14" i="1"/>
  <c r="H161" i="1"/>
  <c r="F288" i="1"/>
  <c r="J276" i="1"/>
  <c r="I276" i="1"/>
  <c r="G314" i="1"/>
  <c r="G295" i="1"/>
  <c r="G276" i="1"/>
  <c r="F314" i="1"/>
  <c r="F295" i="1"/>
  <c r="F276" i="1"/>
  <c r="H28" i="1"/>
  <c r="H13" i="1"/>
  <c r="H360" i="1"/>
  <c r="I359" i="1"/>
  <c r="I358" i="1"/>
  <c r="H359" i="1"/>
  <c r="H358" i="1"/>
  <c r="F360" i="1"/>
  <c r="F359" i="1"/>
  <c r="F358" i="1"/>
  <c r="G24" i="1"/>
  <c r="G97"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C125" i="2" s="1"/>
  <c r="G5" i="13"/>
  <c r="H5" i="13"/>
  <c r="L197" i="1"/>
  <c r="L198" i="1"/>
  <c r="L199" i="1"/>
  <c r="L200" i="1"/>
  <c r="L215" i="1"/>
  <c r="L216" i="1"/>
  <c r="L217" i="1"/>
  <c r="L218" i="1"/>
  <c r="L233" i="1"/>
  <c r="L234" i="1"/>
  <c r="L235" i="1"/>
  <c r="C12" i="10" s="1"/>
  <c r="L236" i="1"/>
  <c r="G6" i="13"/>
  <c r="H6" i="13"/>
  <c r="L202" i="1"/>
  <c r="L220" i="1"/>
  <c r="L238" i="1"/>
  <c r="G7" i="13"/>
  <c r="H7" i="13"/>
  <c r="L203" i="1"/>
  <c r="L221" i="1"/>
  <c r="L239" i="1"/>
  <c r="G12" i="13"/>
  <c r="H12" i="13"/>
  <c r="L205" i="1"/>
  <c r="L223" i="1"/>
  <c r="L241" i="1"/>
  <c r="C121" i="2" s="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E111" i="2" s="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32" i="10" s="1"/>
  <c r="L261" i="1"/>
  <c r="C132" i="2" s="1"/>
  <c r="L341" i="1"/>
  <c r="L342" i="1"/>
  <c r="L255" i="1"/>
  <c r="C130" i="2" s="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C57" i="2" s="1"/>
  <c r="F94" i="1"/>
  <c r="F111" i="1"/>
  <c r="G111" i="1"/>
  <c r="H79" i="1"/>
  <c r="H112" i="1" s="1"/>
  <c r="H94" i="1"/>
  <c r="H111" i="1"/>
  <c r="I111" i="1"/>
  <c r="I112" i="1" s="1"/>
  <c r="J111" i="1"/>
  <c r="J112" i="1" s="1"/>
  <c r="F121" i="1"/>
  <c r="F136" i="1"/>
  <c r="G121" i="1"/>
  <c r="G136" i="1"/>
  <c r="H121" i="1"/>
  <c r="H136" i="1"/>
  <c r="I121" i="1"/>
  <c r="I136" i="1"/>
  <c r="J121" i="1"/>
  <c r="J136" i="1"/>
  <c r="F147" i="1"/>
  <c r="C85" i="2" s="1"/>
  <c r="F162" i="1"/>
  <c r="G147" i="1"/>
  <c r="G162" i="1"/>
  <c r="H147" i="1"/>
  <c r="E85" i="2" s="1"/>
  <c r="H162" i="1"/>
  <c r="H169" i="1" s="1"/>
  <c r="I147" i="1"/>
  <c r="I162" i="1"/>
  <c r="I169" i="1" s="1"/>
  <c r="L250" i="1"/>
  <c r="C113" i="2" s="1"/>
  <c r="L332" i="1"/>
  <c r="E113" i="2" s="1"/>
  <c r="L254" i="1"/>
  <c r="L268" i="1"/>
  <c r="L269" i="1"/>
  <c r="C143" i="2" s="1"/>
  <c r="L349" i="1"/>
  <c r="E142" i="2" s="1"/>
  <c r="L350" i="1"/>
  <c r="I665" i="1"/>
  <c r="I670"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L270" i="1" s="1"/>
  <c r="G270" i="1"/>
  <c r="F270" i="1"/>
  <c r="C131" i="2"/>
  <c r="A1" i="2"/>
  <c r="A2" i="2"/>
  <c r="C8" i="2"/>
  <c r="D8" i="2"/>
  <c r="E8" i="2"/>
  <c r="F8" i="2"/>
  <c r="I439" i="1"/>
  <c r="J9" i="1" s="1"/>
  <c r="G8" i="2" s="1"/>
  <c r="C9" i="2"/>
  <c r="D9" i="2"/>
  <c r="E9" i="2"/>
  <c r="F9" i="2"/>
  <c r="I440" i="1"/>
  <c r="J10" i="1" s="1"/>
  <c r="G9" i="2" s="1"/>
  <c r="C10" i="2"/>
  <c r="C18" i="2" s="1"/>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C79" i="2"/>
  <c r="D79" i="2"/>
  <c r="E79" i="2"/>
  <c r="C80" i="2"/>
  <c r="E80" i="2"/>
  <c r="D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3" i="2"/>
  <c r="F128" i="2"/>
  <c r="G128" i="2"/>
  <c r="D134" i="2"/>
  <c r="D144" i="2" s="1"/>
  <c r="E134" i="2"/>
  <c r="F134" i="2"/>
  <c r="K419" i="1"/>
  <c r="K427" i="1"/>
  <c r="K433" i="1"/>
  <c r="L263" i="1"/>
  <c r="C135" i="2" s="1"/>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I177" i="1"/>
  <c r="F183" i="1"/>
  <c r="G183" i="1"/>
  <c r="H183" i="1"/>
  <c r="H192" i="1" s="1"/>
  <c r="I183" i="1"/>
  <c r="J183" i="1"/>
  <c r="J192" i="1" s="1"/>
  <c r="F188" i="1"/>
  <c r="G188" i="1"/>
  <c r="G192" i="1" s="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H408" i="1"/>
  <c r="H644"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F460" i="1"/>
  <c r="G460" i="1"/>
  <c r="H460" i="1"/>
  <c r="G461" i="1"/>
  <c r="H640"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L560" i="1" s="1"/>
  <c r="F560" i="1"/>
  <c r="G560" i="1"/>
  <c r="H560" i="1"/>
  <c r="I560" i="1"/>
  <c r="J560" i="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4" i="1"/>
  <c r="G643" i="1"/>
  <c r="G644" i="1"/>
  <c r="G650" i="1"/>
  <c r="G651" i="1"/>
  <c r="G652" i="1"/>
  <c r="H652" i="1"/>
  <c r="G653" i="1"/>
  <c r="H653" i="1"/>
  <c r="G654" i="1"/>
  <c r="H654" i="1"/>
  <c r="H655" i="1"/>
  <c r="D31" i="2"/>
  <c r="E78" i="2"/>
  <c r="J571" i="1"/>
  <c r="J140" i="1"/>
  <c r="H140" i="1"/>
  <c r="G408" i="1" l="1"/>
  <c r="H645" i="1" s="1"/>
  <c r="L614" i="1"/>
  <c r="L570" i="1"/>
  <c r="C114" i="2"/>
  <c r="E57" i="2"/>
  <c r="E125" i="2"/>
  <c r="H662" i="1"/>
  <c r="F18" i="2"/>
  <c r="H461" i="1"/>
  <c r="H641" i="1" s="1"/>
  <c r="F408" i="1"/>
  <c r="H643" i="1" s="1"/>
  <c r="J643" i="1" s="1"/>
  <c r="E103" i="2"/>
  <c r="E121" i="2"/>
  <c r="E112" i="2"/>
  <c r="I408" i="1"/>
  <c r="L256" i="1"/>
  <c r="G645" i="1"/>
  <c r="F571" i="1"/>
  <c r="F461" i="1"/>
  <c r="H639" i="1" s="1"/>
  <c r="J639" i="1" s="1"/>
  <c r="J641" i="1"/>
  <c r="L419" i="1"/>
  <c r="C112" i="2"/>
  <c r="L565" i="1"/>
  <c r="G545" i="1"/>
  <c r="H552" i="1"/>
  <c r="G552" i="1"/>
  <c r="L529" i="1"/>
  <c r="I545" i="1"/>
  <c r="D15" i="13"/>
  <c r="C15" i="13" s="1"/>
  <c r="K605" i="1"/>
  <c r="G648" i="1" s="1"/>
  <c r="J651" i="1"/>
  <c r="K598" i="1"/>
  <c r="G647" i="1" s="1"/>
  <c r="J634" i="1"/>
  <c r="G62" i="2"/>
  <c r="L401" i="1"/>
  <c r="C139" i="2" s="1"/>
  <c r="H647" i="1"/>
  <c r="J257" i="1"/>
  <c r="J271" i="1" s="1"/>
  <c r="H257" i="1"/>
  <c r="H271" i="1" s="1"/>
  <c r="C120" i="2"/>
  <c r="C119" i="2"/>
  <c r="F257" i="1"/>
  <c r="F271" i="1" s="1"/>
  <c r="A40" i="12"/>
  <c r="C110" i="2"/>
  <c r="C91" i="2"/>
  <c r="E124" i="2"/>
  <c r="G625" i="1"/>
  <c r="G662" i="1"/>
  <c r="K338" i="1"/>
  <c r="K352" i="1" s="1"/>
  <c r="E119" i="2"/>
  <c r="C11" i="10"/>
  <c r="E110" i="2"/>
  <c r="F338" i="1"/>
  <c r="F352" i="1" s="1"/>
  <c r="E114" i="2"/>
  <c r="G338" i="1"/>
  <c r="G352" i="1" s="1"/>
  <c r="G112" i="1"/>
  <c r="F661" i="1"/>
  <c r="L362" i="1"/>
  <c r="G472" i="1" s="1"/>
  <c r="G661" i="1"/>
  <c r="D50" i="2"/>
  <c r="D51" i="2" s="1"/>
  <c r="D18" i="2"/>
  <c r="E31" i="2"/>
  <c r="L328" i="1"/>
  <c r="E122" i="2"/>
  <c r="L290" i="1"/>
  <c r="L247" i="1"/>
  <c r="L211" i="1"/>
  <c r="H571" i="1"/>
  <c r="I571" i="1"/>
  <c r="K545" i="1"/>
  <c r="H52" i="1"/>
  <c r="H619" i="1" s="1"/>
  <c r="J619" i="1" s="1"/>
  <c r="G157" i="2"/>
  <c r="G81" i="2"/>
  <c r="C78" i="2"/>
  <c r="E62" i="2"/>
  <c r="E63" i="2" s="1"/>
  <c r="C18" i="10"/>
  <c r="L427" i="1"/>
  <c r="I257" i="1"/>
  <c r="I271" i="1" s="1"/>
  <c r="I552" i="1"/>
  <c r="F552" i="1"/>
  <c r="C13" i="10"/>
  <c r="J640" i="1"/>
  <c r="F169" i="1"/>
  <c r="F112" i="1"/>
  <c r="L393" i="1"/>
  <c r="C138" i="2" s="1"/>
  <c r="L309" i="1"/>
  <c r="E118" i="2"/>
  <c r="C20" i="10"/>
  <c r="D6" i="13"/>
  <c r="C6" i="13" s="1"/>
  <c r="E13" i="13"/>
  <c r="C13" i="13" s="1"/>
  <c r="J644" i="1"/>
  <c r="H545" i="1"/>
  <c r="G164" i="2"/>
  <c r="G161" i="2"/>
  <c r="G156" i="2"/>
  <c r="F78" i="2"/>
  <c r="F81" i="2" s="1"/>
  <c r="C70" i="2"/>
  <c r="D62" i="2"/>
  <c r="D63" i="2" s="1"/>
  <c r="C26" i="10"/>
  <c r="J545" i="1"/>
  <c r="L433" i="1"/>
  <c r="K257" i="1"/>
  <c r="K271" i="1" s="1"/>
  <c r="F192" i="1"/>
  <c r="J552" i="1"/>
  <c r="K549" i="1"/>
  <c r="L351" i="1"/>
  <c r="F130" i="2"/>
  <c r="F144" i="2" s="1"/>
  <c r="F145" i="2" s="1"/>
  <c r="J617" i="1"/>
  <c r="K551" i="1"/>
  <c r="I25" i="13"/>
  <c r="K550" i="1"/>
  <c r="L534" i="1"/>
  <c r="K500" i="1"/>
  <c r="I460" i="1"/>
  <c r="I452" i="1"/>
  <c r="I446" i="1"/>
  <c r="G642" i="1" s="1"/>
  <c r="H338" i="1"/>
  <c r="H352" i="1" s="1"/>
  <c r="C123" i="2"/>
  <c r="E109" i="2"/>
  <c r="C56" i="2"/>
  <c r="F662" i="1"/>
  <c r="C25" i="10"/>
  <c r="C21" i="10"/>
  <c r="C17" i="10"/>
  <c r="D19" i="13"/>
  <c r="C19" i="13" s="1"/>
  <c r="D14" i="13"/>
  <c r="C14" i="13" s="1"/>
  <c r="C62" i="2"/>
  <c r="G22" i="13"/>
  <c r="C22" i="13" s="1"/>
  <c r="L539" i="1"/>
  <c r="K503" i="1"/>
  <c r="L382" i="1"/>
  <c r="G257" i="1"/>
  <c r="G271" i="1" s="1"/>
  <c r="C142" i="2"/>
  <c r="C111" i="2"/>
  <c r="H661" i="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L337" i="1"/>
  <c r="F62" i="2"/>
  <c r="F63" i="2" s="1"/>
  <c r="F104" i="2" s="1"/>
  <c r="C23" i="10"/>
  <c r="G163" i="2"/>
  <c r="G162" i="2"/>
  <c r="G160" i="2"/>
  <c r="G159" i="2"/>
  <c r="G158" i="2"/>
  <c r="G103" i="2"/>
  <c r="F103" i="2"/>
  <c r="C103" i="2"/>
  <c r="F91" i="2"/>
  <c r="E50" i="2"/>
  <c r="C50" i="2"/>
  <c r="F31" i="2"/>
  <c r="C31" i="2"/>
  <c r="E18" i="2"/>
  <c r="E144" i="2"/>
  <c r="F50" i="2"/>
  <c r="C24" i="10"/>
  <c r="H31" i="13"/>
  <c r="H33" i="13" s="1"/>
  <c r="I338" i="1"/>
  <c r="I352" i="1" s="1"/>
  <c r="J650" i="1"/>
  <c r="L407" i="1"/>
  <c r="C140" i="2" s="1"/>
  <c r="I192" i="1"/>
  <c r="E91" i="2"/>
  <c r="J654" i="1"/>
  <c r="J653" i="1"/>
  <c r="G21" i="2"/>
  <c r="G31" i="2" s="1"/>
  <c r="J32" i="1"/>
  <c r="L434" i="1"/>
  <c r="J434" i="1"/>
  <c r="F434" i="1"/>
  <c r="K434" i="1"/>
  <c r="G134" i="2" s="1"/>
  <c r="G144" i="2" s="1"/>
  <c r="G145" i="2" s="1"/>
  <c r="G31" i="13"/>
  <c r="J193" i="1"/>
  <c r="H193" i="1"/>
  <c r="G169" i="1"/>
  <c r="G140" i="1"/>
  <c r="F140" i="1"/>
  <c r="G63" i="2"/>
  <c r="J618" i="1"/>
  <c r="G42" i="2"/>
  <c r="J51" i="1"/>
  <c r="G16" i="2"/>
  <c r="G18" i="2" s="1"/>
  <c r="J19" i="1"/>
  <c r="G621" i="1" s="1"/>
  <c r="F545" i="1"/>
  <c r="H434" i="1"/>
  <c r="J620" i="1"/>
  <c r="D103" i="2"/>
  <c r="I140" i="1"/>
  <c r="A22" i="12"/>
  <c r="G50" i="2"/>
  <c r="G51" i="2" s="1"/>
  <c r="J652" i="1"/>
  <c r="G571" i="1"/>
  <c r="I434" i="1"/>
  <c r="G434" i="1"/>
  <c r="I663" i="1"/>
  <c r="G638" i="1" l="1"/>
  <c r="J472" i="1"/>
  <c r="G636" i="1"/>
  <c r="I472" i="1"/>
  <c r="G104" i="2"/>
  <c r="E104" i="2"/>
  <c r="L571" i="1"/>
  <c r="C141" i="2"/>
  <c r="C144" i="2" s="1"/>
  <c r="J645" i="1"/>
  <c r="C36" i="10"/>
  <c r="J647" i="1"/>
  <c r="L408" i="1"/>
  <c r="G637" i="1" s="1"/>
  <c r="G646" i="1"/>
  <c r="J468" i="1"/>
  <c r="I662" i="1"/>
  <c r="E33" i="13"/>
  <c r="D35" i="13" s="1"/>
  <c r="H660" i="1"/>
  <c r="H664" i="1" s="1"/>
  <c r="H667" i="1" s="1"/>
  <c r="C115" i="2"/>
  <c r="G4" i="14"/>
  <c r="H4" i="14" s="1"/>
  <c r="I4" i="14" s="1"/>
  <c r="F193" i="1"/>
  <c r="G627" i="1" s="1"/>
  <c r="E128" i="2"/>
  <c r="E115" i="2"/>
  <c r="F660" i="1"/>
  <c r="F664" i="1" s="1"/>
  <c r="F667" i="1" s="1"/>
  <c r="G24" i="14"/>
  <c r="H24" i="14" s="1"/>
  <c r="I24" i="14" s="1"/>
  <c r="G36" i="14"/>
  <c r="H36" i="14" s="1"/>
  <c r="I36" i="14" s="1"/>
  <c r="L338" i="1"/>
  <c r="L352" i="1" s="1"/>
  <c r="G633" i="1" s="1"/>
  <c r="H648" i="1"/>
  <c r="J648" i="1" s="1"/>
  <c r="G629" i="1"/>
  <c r="H468" i="1"/>
  <c r="C27" i="10"/>
  <c r="C28" i="10" s="1"/>
  <c r="D23" i="10" s="1"/>
  <c r="E51" i="2"/>
  <c r="G635" i="1"/>
  <c r="I661" i="1"/>
  <c r="G474" i="1"/>
  <c r="H635" i="1"/>
  <c r="D104" i="2"/>
  <c r="L257" i="1"/>
  <c r="L271" i="1" s="1"/>
  <c r="C63" i="2"/>
  <c r="C39" i="10"/>
  <c r="I193" i="1"/>
  <c r="L545" i="1"/>
  <c r="C81" i="2"/>
  <c r="G33" i="13"/>
  <c r="C128" i="2"/>
  <c r="F51" i="2"/>
  <c r="D31" i="13"/>
  <c r="C31" i="13" s="1"/>
  <c r="I461" i="1"/>
  <c r="H642" i="1" s="1"/>
  <c r="J642" i="1" s="1"/>
  <c r="G660" i="1"/>
  <c r="G664" i="1" s="1"/>
  <c r="G667" i="1" s="1"/>
  <c r="C25" i="13"/>
  <c r="I33" i="13"/>
  <c r="K552" i="1"/>
  <c r="C51" i="2"/>
  <c r="G631" i="1"/>
  <c r="G193" i="1"/>
  <c r="G626" i="1"/>
  <c r="J52" i="1"/>
  <c r="H621" i="1" s="1"/>
  <c r="J621" i="1" s="1"/>
  <c r="C38" i="10"/>
  <c r="H646" i="1" l="1"/>
  <c r="G630" i="1"/>
  <c r="I468" i="1"/>
  <c r="H638" i="1"/>
  <c r="J474" i="1"/>
  <c r="H636" i="1"/>
  <c r="J636" i="1" s="1"/>
  <c r="I474" i="1"/>
  <c r="J638" i="1"/>
  <c r="J646" i="1"/>
  <c r="J470" i="1"/>
  <c r="J476" i="1" s="1"/>
  <c r="H626" i="1" s="1"/>
  <c r="J626" i="1" s="1"/>
  <c r="H637" i="1"/>
  <c r="J637" i="1" s="1"/>
  <c r="H631" i="1"/>
  <c r="J631" i="1" s="1"/>
  <c r="C145" i="2"/>
  <c r="G632" i="1"/>
  <c r="F472" i="1"/>
  <c r="H627" i="1"/>
  <c r="J627" i="1" s="1"/>
  <c r="E145" i="2"/>
  <c r="H472" i="1"/>
  <c r="H633" i="1" s="1"/>
  <c r="J633" i="1" s="1"/>
  <c r="H629" i="1"/>
  <c r="J629" i="1" s="1"/>
  <c r="H470" i="1"/>
  <c r="J635" i="1"/>
  <c r="F672" i="1"/>
  <c r="C4" i="10" s="1"/>
  <c r="I660" i="1"/>
  <c r="I664" i="1" s="1"/>
  <c r="I672" i="1" s="1"/>
  <c r="C7" i="10" s="1"/>
  <c r="G628" i="1"/>
  <c r="G468" i="1"/>
  <c r="H672" i="1"/>
  <c r="C6" i="10" s="1"/>
  <c r="G672" i="1"/>
  <c r="C5" i="10" s="1"/>
  <c r="C104" i="2"/>
  <c r="D25" i="10"/>
  <c r="D22" i="10"/>
  <c r="D18" i="10"/>
  <c r="D27" i="10"/>
  <c r="D15" i="10"/>
  <c r="D21" i="10"/>
  <c r="D24" i="10"/>
  <c r="D20" i="10"/>
  <c r="D11" i="10"/>
  <c r="D12" i="10"/>
  <c r="D13" i="10"/>
  <c r="D17" i="10"/>
  <c r="D19" i="10"/>
  <c r="D10" i="10"/>
  <c r="D26" i="10"/>
  <c r="C30" i="10"/>
  <c r="D16" i="10"/>
  <c r="D33" i="13"/>
  <c r="D36" i="13" s="1"/>
  <c r="C41" i="10"/>
  <c r="D38" i="10" s="1"/>
  <c r="J630" i="1" l="1"/>
  <c r="I470" i="1"/>
  <c r="I476" i="1" s="1"/>
  <c r="H625" i="1" s="1"/>
  <c r="J625" i="1" s="1"/>
  <c r="H630" i="1"/>
  <c r="H632" i="1"/>
  <c r="J632" i="1" s="1"/>
  <c r="F474" i="1"/>
  <c r="F470" i="1"/>
  <c r="H474" i="1"/>
  <c r="H476" i="1" s="1"/>
  <c r="H624" i="1" s="1"/>
  <c r="J624" i="1" s="1"/>
  <c r="I667" i="1"/>
  <c r="G470" i="1"/>
  <c r="G476" i="1" s="1"/>
  <c r="H623" i="1" s="1"/>
  <c r="H628" i="1"/>
  <c r="J628" i="1" s="1"/>
  <c r="D28" i="10"/>
  <c r="D37" i="10"/>
  <c r="D36" i="10"/>
  <c r="D35" i="10"/>
  <c r="D40" i="10"/>
  <c r="D39" i="10"/>
  <c r="F476" i="1" l="1"/>
  <c r="H622" i="1" s="1"/>
  <c r="J622" i="1" s="1"/>
  <c r="J623" i="1"/>
  <c r="D41" i="10"/>
  <c r="H656"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<sst xmlns="http://schemas.openxmlformats.org/spreadsheetml/2006/main" count="5511" uniqueCount="1612">
  <si>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</si>
  <si>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</si>
  <si>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</si>
  <si>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</si>
  <si>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</si>
  <si>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</si>
  <si>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</si>
  <si>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</si>
  <si>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</si>
  <si>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</si>
  <si>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</si>
  <si>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</si>
  <si>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</si>
  <si>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</si>
  <si>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</si>
  <si>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</si>
  <si>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</si>
  <si>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</si>
  <si>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</si>
  <si>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</si>
  <si>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</si>
  <si>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</si>
  <si>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</si>
  <si>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</si>
  <si>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</si>
  <si>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</si>
  <si>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</si>
  <si>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</si>
  <si>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</si>
  <si>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</si>
  <si>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</si>
  <si>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</si>
  <si>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</si>
  <si>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</si>
  <si>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</si>
  <si>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</si>
  <si>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</si>
  <si>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</si>
  <si>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</si>
  <si>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</si>
  <si>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</si>
  <si>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</si>
  <si>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</si>
  <si>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</si>
  <si>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</si>
  <si>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</si>
  <si>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</si>
  <si>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</si>
  <si>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</si>
  <si>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</si>
  <si>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</si>
  <si>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</si>
  <si>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</si>
  <si>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</si>
  <si>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</si>
  <si>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</si>
  <si>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</si>
  <si>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</si>
  <si>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</si>
  <si>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</si>
  <si>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</si>
  <si>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</si>
  <si>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</si>
  <si>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</si>
  <si>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</si>
  <si>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</si>
  <si>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</si>
  <si>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</si>
  <si>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</si>
  <si>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</si>
  <si>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</si>
  <si>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</si>
  <si>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</si>
  <si>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</si>
  <si>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</si>
  <si>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</si>
  <si>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</si>
  <si>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</si>
  <si>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</si>
  <si>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</si>
  <si>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</si>
  <si>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</si>
  <si>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</si>
  <si>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</si>
  <si>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</si>
  <si>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</si>
  <si>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</si>
  <si>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</si>
  <si>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</si>
  <si>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</si>
  <si>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</si>
  <si>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</si>
  <si>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</si>
  <si>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</si>
  <si>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</si>
  <si>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</si>
  <si>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</si>
  <si>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</si>
  <si>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</si>
  <si>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</si>
  <si>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</si>
  <si>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</si>
  <si>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</si>
  <si>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</si>
  <si>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</si>
  <si>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</si>
  <si>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</si>
  <si>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</si>
  <si>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</si>
  <si>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</si>
  <si>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</si>
  <si>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</si>
  <si>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</si>
  <si>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</si>
  <si>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</si>
  <si>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</si>
  <si>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</si>
  <si>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</si>
  <si>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</si>
  <si>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</si>
  <si>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</si>
  <si>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</si>
  <si>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</si>
  <si>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</si>
  <si>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</si>
  <si>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</si>
  <si>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</si>
  <si>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</si>
  <si>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</si>
  <si>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</si>
  <si>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</si>
  <si>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</si>
  <si>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</si>
  <si>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</si>
  <si>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</si>
  <si>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</si>
  <si>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</si>
  <si>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</si>
  <si>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</si>
  <si>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</si>
  <si>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</si>
  <si>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</si>
  <si>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</si>
  <si>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</si>
  <si>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</si>
  <si>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</si>
  <si>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</si>
  <si>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</si>
  <si>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</si>
  <si>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</si>
  <si>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</si>
  <si>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</si>
  <si>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</si>
  <si>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</si>
  <si>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</si>
  <si>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</si>
  <si>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</si>
  <si>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</si>
  <si>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</si>
  <si>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</si>
  <si>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</si>
  <si>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</si>
  <si>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</si>
  <si>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</si>
  <si>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</si>
  <si>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</si>
  <si>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</si>
  <si>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</si>
  <si>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</si>
  <si>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</si>
  <si>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</si>
  <si>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</si>
  <si>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</si>
  <si>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</si>
  <si>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</si>
  <si>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</si>
  <si>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</si>
  <si>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</si>
  <si>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</si>
  <si>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</si>
  <si>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</si>
  <si>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</si>
  <si>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</si>
  <si>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</si>
  <si>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</si>
  <si>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</si>
  <si>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</si>
  <si>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</si>
  <si>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</si>
  <si>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</si>
  <si>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</si>
  <si>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</si>
  <si>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</si>
  <si>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</si>
  <si>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</si>
  <si>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</si>
  <si>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</si>
  <si>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</si>
  <si>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</si>
  <si>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</si>
  <si>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</si>
  <si>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</si>
  <si>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</si>
  <si>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</si>
  <si>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</si>
  <si>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</si>
  <si>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</si>
  <si>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</si>
  <si>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</si>
  <si>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</si>
  <si>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</si>
  <si>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</si>
  <si>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</si>
  <si>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</si>
  <si>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</si>
  <si>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</si>
  <si>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</si>
  <si>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</si>
  <si>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</si>
  <si>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</si>
  <si>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</si>
  <si>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</si>
  <si>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</si>
  <si>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</si>
  <si>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</si>
  <si>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</si>
  <si>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</si>
  <si>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</si>
  <si>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</si>
  <si>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</si>
  <si>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</si>
  <si>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</si>
  <si>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</si>
  <si>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</si>
  <si>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</si>
  <si>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</si>
  <si>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</si>
  <si>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</si>
  <si>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</si>
  <si>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</si>
  <si>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</si>
  <si>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</si>
  <si>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</si>
  <si>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</si>
  <si>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</si>
  <si>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</si>
  <si>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</si>
  <si>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</si>
  <si>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</si>
  <si>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</si>
  <si>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</si>
  <si>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</si>
  <si>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</si>
  <si>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</si>
  <si>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</si>
  <si>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</si>
  <si>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</si>
  <si>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</si>
  <si>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</si>
  <si>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</si>
  <si>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</si>
  <si>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</si>
  <si>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</si>
  <si>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</si>
  <si>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</si>
  <si>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</si>
  <si>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</si>
  <si>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</si>
  <si>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</si>
  <si>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</si>
  <si>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</si>
  <si>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</si>
  <si>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</si>
  <si>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</si>
  <si>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</si>
  <si>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</si>
  <si>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</si>
  <si>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</si>
  <si>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</si>
  <si>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</si>
  <si>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</si>
  <si>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</si>
  <si>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</si>
  <si>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</si>
  <si>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</si>
  <si>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</si>
  <si>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</si>
  <si>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</si>
  <si>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</si>
  <si>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</si>
  <si>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</si>
  <si>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</si>
  <si>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</si>
  <si>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</si>
  <si>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</si>
  <si>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</si>
  <si>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</si>
  <si>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</si>
  <si>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</si>
  <si>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</si>
  <si>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</si>
  <si>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</si>
  <si>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</si>
  <si>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</si>
  <si>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</si>
  <si>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</si>
  <si>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</si>
  <si>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</si>
  <si>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</si>
  <si>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</si>
  <si>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</si>
  <si>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</si>
  <si>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</si>
  <si>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</si>
  <si>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</si>
  <si>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</si>
  <si>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</si>
  <si>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</si>
  <si>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</si>
  <si>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</si>
  <si>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</si>
  <si>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</si>
  <si>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</si>
  <si>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</si>
  <si>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</si>
  <si>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</si>
  <si>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</si>
  <si>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</si>
  <si>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</si>
  <si>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</si>
  <si>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</si>
  <si>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</si>
  <si>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</si>
  <si>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</si>
  <si>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</si>
  <si>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</si>
  <si>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</si>
  <si>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</si>
  <si>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</si>
  <si>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</si>
  <si>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</si>
  <si>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</si>
  <si>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</si>
  <si>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</si>
  <si>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</si>
  <si>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</si>
  <si>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</si>
  <si>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</si>
  <si>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</si>
  <si>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</si>
  <si>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</si>
  <si>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</si>
  <si>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</si>
  <si>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</si>
  <si>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</si>
  <si>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</si>
  <si>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</si>
  <si>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</si>
  <si>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</si>
  <si>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</si>
  <si>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</si>
  <si>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</si>
  <si>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</si>
  <si>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</si>
  <si>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</si>
  <si>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</si>
  <si>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</si>
  <si>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</si>
  <si>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</si>
  <si>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</si>
  <si>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</si>
  <si>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</si>
  <si>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</si>
  <si>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</si>
  <si>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</si>
  <si>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</si>
  <si>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</si>
  <si>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</si>
  <si>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</si>
  <si>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</si>
  <si>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</si>
  <si>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</si>
  <si>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</si>
  <si>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</si>
  <si>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</si>
  <si>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</si>
  <si>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</si>
  <si>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</si>
  <si>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</si>
  <si>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</si>
  <si>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</si>
  <si>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</si>
  <si>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</si>
  <si>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</si>
  <si>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</si>
  <si>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</si>
  <si>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</si>
  <si>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</si>
  <si>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</si>
  <si>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</si>
  <si>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</si>
  <si>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</si>
  <si>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</si>
  <si>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</si>
  <si>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</si>
  <si>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</si>
  <si>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</si>
  <si>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</si>
  <si>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</si>
  <si>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</si>
  <si>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</si>
  <si>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</si>
  <si>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</si>
  <si>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</si>
  <si>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</si>
  <si>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</si>
  <si>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</si>
  <si>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</si>
  <si>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</si>
  <si>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</si>
  <si>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</si>
  <si>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</si>
  <si>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</si>
  <si>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</si>
  <si>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</si>
  <si>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</si>
  <si>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</si>
  <si>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</si>
  <si>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</si>
  <si>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</si>
  <si>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</si>
  <si>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</si>
  <si>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</si>
  <si>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</si>
  <si>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</si>
  <si>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</si>
  <si>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</si>
  <si>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</si>
  <si>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</si>
  <si>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</si>
  <si>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</si>
  <si>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</si>
  <si>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</si>
  <si>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</si>
  <si>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</si>
  <si>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</si>
  <si>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</si>
  <si>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</si>
  <si>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</si>
  <si>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</si>
  <si>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</si>
  <si>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</si>
  <si>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</si>
  <si>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</si>
  <si>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</si>
  <si>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</si>
  <si>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</si>
  <si>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</si>
  <si>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</si>
  <si>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</si>
  <si>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</si>
  <si>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</si>
  <si>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</si>
  <si>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</si>
  <si>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</si>
  <si>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</si>
  <si>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</si>
  <si>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</si>
  <si>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</si>
  <si>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</si>
  <si>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</si>
  <si>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</si>
  <si>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</si>
  <si>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</si>
  <si>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</si>
  <si>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</si>
  <si>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</si>
  <si>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</si>
  <si>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</si>
  <si>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</si>
  <si>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</si>
  <si>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</si>
  <si>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</si>
  <si>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</si>
  <si>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</si>
  <si>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</si>
  <si>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</si>
  <si>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</si>
  <si>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</si>
  <si>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</si>
  <si>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</si>
  <si>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</si>
  <si>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</si>
  <si>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</si>
  <si>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</si>
  <si>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</si>
  <si>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</si>
  <si>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</si>
  <si>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</si>
  <si>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</si>
  <si>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</si>
  <si>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</si>
  <si>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</si>
  <si>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</si>
  <si>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</si>
  <si>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</si>
  <si>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</si>
  <si>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</si>
  <si>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</si>
  <si>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</si>
  <si>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</si>
  <si>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</si>
  <si>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</si>
  <si>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</si>
  <si>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</si>
  <si>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</si>
  <si>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</si>
  <si>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</si>
  <si>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</si>
  <si>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</si>
  <si>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</si>
  <si>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</si>
  <si>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</si>
  <si>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</si>
  <si>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</si>
  <si>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</si>
  <si>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</si>
  <si>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</si>
  <si>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</si>
  <si>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</si>
  <si>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</si>
  <si>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</si>
  <si>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</si>
  <si>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</si>
  <si>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</si>
  <si>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</si>
  <si>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</si>
  <si>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</si>
  <si>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</si>
  <si>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</si>
  <si>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</si>
  <si>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</si>
  <si>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</si>
  <si>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</si>
  <si>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</si>
  <si>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</si>
  <si>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</si>
  <si>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</si>
  <si>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</si>
  <si>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</si>
  <si>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</si>
  <si>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</si>
  <si>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</si>
  <si>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</si>
  <si>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</si>
  <si>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</si>
  <si>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</si>
  <si>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</si>
  <si>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</si>
  <si>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</si>
  <si>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</si>
  <si>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</si>
  <si>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</si>
  <si>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</si>
  <si>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</si>
  <si>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</si>
  <si>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</si>
  <si>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</si>
  <si>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</si>
  <si>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</si>
  <si>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</si>
  <si>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</si>
  <si>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</si>
  <si>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</si>
  <si>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</si>
  <si>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</si>
  <si>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</si>
  <si>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</si>
  <si>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</si>
  <si>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</si>
  <si>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</si>
  <si>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</si>
  <si>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</si>
  <si>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</si>
  <si>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</si>
  <si>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</si>
  <si>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</si>
  <si>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</si>
  <si>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</si>
  <si>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</si>
  <si>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</si>
  <si>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</si>
  <si>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</si>
  <si>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</si>
  <si>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</si>
  <si>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</si>
  <si>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</si>
  <si>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</si>
  <si>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</si>
  <si>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</si>
  <si>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</si>
  <si>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</si>
  <si>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</si>
  <si>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</si>
  <si>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</si>
  <si>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</si>
  <si>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</si>
  <si>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</si>
  <si>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</si>
  <si>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</si>
  <si>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</si>
  <si>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</si>
  <si>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</si>
  <si>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</si>
  <si>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</si>
  <si>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</si>
  <si>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</si>
  <si>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</si>
  <si>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</si>
  <si>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</si>
  <si>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</si>
  <si>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</si>
  <si>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</si>
  <si>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</si>
  <si>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</si>
  <si>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</si>
  <si>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</si>
  <si>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</si>
  <si>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</si>
  <si>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</si>
  <si>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</si>
  <si>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</si>
  <si>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</si>
  <si>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</si>
  <si>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</si>
  <si>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</si>
  <si>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</si>
  <si>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</si>
  <si>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</si>
  <si>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</si>
  <si>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</si>
  <si>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</si>
  <si>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</si>
  <si>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</si>
  <si>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</si>
  <si>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</si>
  <si>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</si>
  <si>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</si>
  <si>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</si>
  <si>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</si>
  <si>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</si>
  <si>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</si>
  <si>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</si>
  <si>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</si>
  <si>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</si>
  <si>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</si>
  <si>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</si>
  <si>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</si>
  <si>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</si>
  <si>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</si>
  <si>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</si>
  <si>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</si>
  <si>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</si>
  <si>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</si>
  <si>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</si>
  <si>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</si>
  <si>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</si>
  <si>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</si>
  <si>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</si>
  <si>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</si>
  <si>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</si>
  <si>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</si>
  <si>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</si>
  <si>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</si>
  <si>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</si>
  <si>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</si>
  <si>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</si>
  <si>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</si>
  <si>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</si>
  <si>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</si>
  <si>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</si>
  <si>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</si>
  <si>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</si>
  <si>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</si>
  <si>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</si>
  <si>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</si>
  <si>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</si>
  <si>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</si>
  <si>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</si>
  <si>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</si>
  <si>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</si>
  <si>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</si>
  <si>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</si>
  <si>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</si>
  <si>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</si>
  <si>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</si>
  <si>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</si>
  <si>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</si>
  <si>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</si>
  <si>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</si>
  <si>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</si>
  <si>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</si>
  <si>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</si>
  <si>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</si>
  <si>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</si>
  <si>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</si>
  <si>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</si>
  <si>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</si>
  <si>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</si>
  <si>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</si>
  <si>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</si>
  <si>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</si>
  <si>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</si>
  <si>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</si>
  <si>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</si>
  <si>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</si>
  <si>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</si>
  <si>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</si>
  <si>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</si>
  <si>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</si>
  <si>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</si>
  <si>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</si>
  <si>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</si>
  <si>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</si>
  <si>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</si>
  <si>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</si>
  <si>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</si>
  <si>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</si>
  <si>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</si>
  <si>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</si>
  <si>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</si>
  <si>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</si>
  <si>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</si>
  <si>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</si>
  <si>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</si>
  <si>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</si>
  <si>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</si>
  <si>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</si>
  <si>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</si>
  <si>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</si>
  <si>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</si>
  <si>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</si>
  <si>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</si>
  <si>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</si>
  <si>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</si>
  <si>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</si>
  <si>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</si>
  <si>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</si>
  <si>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</si>
  <si>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</si>
  <si>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</si>
  <si>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</si>
  <si>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</si>
  <si>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</si>
  <si>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</si>
  <si>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</si>
  <si>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</si>
  <si>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</si>
  <si>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</si>
  <si>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</si>
  <si>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</si>
  <si>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</si>
  <si>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</si>
  <si>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</si>
  <si>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</si>
  <si>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</si>
  <si>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</si>
  <si>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</si>
  <si>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</si>
  <si>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</si>
  <si>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</si>
  <si>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</si>
  <si>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</si>
  <si>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</si>
  <si>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</si>
  <si>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</si>
  <si>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</si>
  <si>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</si>
  <si>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</si>
  <si>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</si>
  <si>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</si>
  <si>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</si>
  <si>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</si>
  <si>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</si>
  <si>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</si>
  <si>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</si>
  <si>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</si>
  <si>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</si>
  <si>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</si>
  <si>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</si>
  <si>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</si>
  <si>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</si>
  <si>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</si>
  <si>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</si>
  <si>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</si>
  <si>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</si>
  <si>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</si>
  <si>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</si>
  <si>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</si>
  <si>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</si>
  <si>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</si>
  <si>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</si>
  <si>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</si>
  <si>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</si>
  <si>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</si>
  <si>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</si>
  <si>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</si>
  <si>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</si>
  <si>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</si>
  <si>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</si>
  <si>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</si>
  <si>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</si>
  <si>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</si>
  <si>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</si>
  <si>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</si>
  <si>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</si>
  <si>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</si>
  <si>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</si>
  <si>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</si>
  <si>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</si>
  <si>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</si>
  <si>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</si>
  <si>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</si>
  <si>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</si>
  <si>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</si>
  <si>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</si>
  <si>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</si>
  <si>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</si>
  <si>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</si>
  <si>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</si>
  <si>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</si>
  <si>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</si>
  <si>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</si>
  <si>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</si>
  <si>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</si>
  <si>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</si>
  <si>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</si>
  <si>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</si>
  <si>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</si>
  <si>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</si>
  <si>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</si>
  <si>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</si>
  <si>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</si>
  <si>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</si>
  <si>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</si>
  <si>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</si>
  <si>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</si>
  <si>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</si>
  <si>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</si>
  <si>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</si>
  <si>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</si>
  <si>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</si>
  <si>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</si>
  <si>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</si>
  <si>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</si>
  <si>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</si>
  <si>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</si>
  <si>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</si>
  <si>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</si>
  <si>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</si>
  <si>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</si>
  <si>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</si>
  <si>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</si>
  <si>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</si>
  <si>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</si>
  <si>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</si>
  <si>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</si>
  <si>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</si>
  <si>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</si>
  <si>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</si>
  <si>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</si>
  <si>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</si>
  <si>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</si>
  <si>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</si>
  <si>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</si>
  <si>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</si>
  <si>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</si>
  <si>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</si>
  <si>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</si>
  <si>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</si>
  <si>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</si>
  <si>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</si>
  <si>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</si>
  <si>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</si>
  <si>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</si>
  <si>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</si>
  <si>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</si>
  <si>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</si>
  <si>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</si>
  <si>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</si>
  <si>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</si>
  <si>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</si>
  <si>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</si>
  <si>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</si>
  <si>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</si>
  <si>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</si>
  <si>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</si>
  <si>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</si>
  <si>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</si>
  <si>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</si>
  <si>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</si>
  <si>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</si>
  <si>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</si>
  <si>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</si>
  <si>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</si>
  <si>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</si>
  <si>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</si>
  <si>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</si>
  <si>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</si>
  <si>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</si>
  <si>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</si>
  <si>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</si>
  <si>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</si>
  <si>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</si>
  <si>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</si>
  <si>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</si>
  <si>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</si>
  <si>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</si>
  <si>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</si>
  <si>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</si>
  <si>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</si>
  <si>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</si>
  <si>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</si>
  <si>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</si>
  <si>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</si>
  <si>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</si>
  <si>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</si>
  <si>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</si>
  <si>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</si>
  <si>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</si>
  <si>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</si>
  <si>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</si>
  <si>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</si>
  <si>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</si>
  <si>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</si>
  <si>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</si>
  <si>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</si>
  <si>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</si>
  <si>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</si>
  <si>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</si>
  <si>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</si>
  <si>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</si>
  <si>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</si>
  <si>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</si>
  <si>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</si>
  <si>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</si>
  <si>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</si>
  <si>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</si>
  <si>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</si>
  <si>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</si>
  <si>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</si>
  <si>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</si>
  <si>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</si>
  <si>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</si>
  <si>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</si>
  <si>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</si>
  <si>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</si>
  <si>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</si>
  <si>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</si>
  <si>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</si>
  <si>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</si>
  <si>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</si>
  <si>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</si>
  <si>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</si>
  <si>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</si>
  <si>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</si>
  <si>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</si>
  <si>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</si>
  <si>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</si>
  <si>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</si>
  <si>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</si>
  <si>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</si>
  <si>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</si>
  <si>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</si>
  <si>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</si>
  <si>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</si>
  <si>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</si>
  <si>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</si>
  <si>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</si>
  <si>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</si>
  <si>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</si>
  <si>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</si>
  <si>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</si>
  <si>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</si>
  <si>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</si>
  <si>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</si>
  <si>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</si>
  <si>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</si>
  <si>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</si>
  <si>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</si>
  <si>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</si>
  <si>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</si>
  <si>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</si>
  <si>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</si>
  <si>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</si>
  <si>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</si>
  <si>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</si>
  <si>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</si>
  <si>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</si>
  <si>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</si>
  <si>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</si>
  <si>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</si>
  <si>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</si>
  <si>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</si>
  <si>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</si>
  <si>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</si>
  <si>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</si>
  <si>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</si>
  <si>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</si>
  <si>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</si>
  <si>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</si>
  <si>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</si>
  <si>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</si>
  <si>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</si>
  <si>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</si>
  <si>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</si>
  <si>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</si>
  <si>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</si>
  <si>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</si>
  <si>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</si>
  <si>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</si>
  <si>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</si>
  <si>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</si>
  <si>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</si>
  <si>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</si>
  <si>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</si>
  <si>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</si>
  <si>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</si>
  <si>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</si>
  <si>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</si>
  <si>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</si>
  <si>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</si>
  <si>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</si>
  <si>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</si>
  <si>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</si>
  <si>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</si>
  <si>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</si>
  <si>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</si>
  <si>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</si>
  <si>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</si>
  <si>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</si>
  <si>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</si>
  <si>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</si>
  <si>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</si>
  <si>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</si>
  <si>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</si>
  <si>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</si>
  <si>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</si>
  <si>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</si>
  <si>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</si>
  <si>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</si>
  <si>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</si>
  <si>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</si>
  <si>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</si>
  <si>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</si>
  <si>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</si>
  <si>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</si>
  <si>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</si>
  <si>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</si>
  <si>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</si>
  <si>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</si>
  <si>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</si>
  <si>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</si>
  <si>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</si>
  <si>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</si>
  <si>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</si>
  <si>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</si>
  <si>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</si>
  <si>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</si>
  <si>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</si>
  <si>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</si>
  <si>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</si>
  <si>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</si>
  <si>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</si>
  <si>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</si>
  <si>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</si>
  <si>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</si>
  <si>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</si>
  <si>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</si>
  <si>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</si>
  <si>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</si>
  <si>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</si>
  <si>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</si>
  <si>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</si>
  <si>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</si>
  <si>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</si>
  <si>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</si>
  <si>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</si>
  <si>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</si>
  <si>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</si>
  <si>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</si>
  <si>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</si>
  <si>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</si>
  <si>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</si>
  <si>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</si>
  <si>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</si>
  <si>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</si>
  <si>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</si>
  <si>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</si>
  <si>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</si>
  <si>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</si>
  <si>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</si>
  <si>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</si>
  <si>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</si>
  <si>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</si>
  <si>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</si>
  <si>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</si>
  <si>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</si>
  <si>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</si>
  <si>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</si>
  <si>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</si>
  <si>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</si>
  <si>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</si>
  <si>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</si>
  <si>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</si>
  <si>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</si>
  <si>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</si>
  <si>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</si>
  <si>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</si>
  <si>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</si>
  <si>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</si>
  <si>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</si>
  <si>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</si>
  <si>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</si>
  <si>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</si>
  <si>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</si>
  <si>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</si>
  <si>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</si>
  <si>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</si>
  <si>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</si>
  <si>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</si>
  <si>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</si>
  <si>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</si>
  <si>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</si>
  <si>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</si>
  <si>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</si>
  <si>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</si>
  <si>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</si>
  <si>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</si>
  <si>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</si>
  <si>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</si>
  <si>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</si>
  <si>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</si>
  <si>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</si>
  <si>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</si>
  <si>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</si>
  <si>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</si>
  <si>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</si>
  <si>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</si>
  <si>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</si>
  <si>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</si>
  <si>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</si>
  <si>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</si>
  <si>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</si>
  <si>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</si>
  <si>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</si>
  <si>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</si>
  <si>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</si>
  <si>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</si>
  <si>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</si>
  <si>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</si>
  <si>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</si>
  <si>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</si>
  <si>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</si>
  <si>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</si>
  <si>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</si>
  <si>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</si>
  <si>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</si>
  <si>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</si>
  <si>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</si>
  <si>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</si>
  <si>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</si>
  <si>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</si>
  <si>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</si>
  <si>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</si>
  <si>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</si>
  <si>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</si>
  <si>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</si>
  <si>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</si>
  <si>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</si>
  <si>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</si>
  <si>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</si>
  <si>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</si>
  <si>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</si>
  <si>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</si>
  <si>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</si>
  <si>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</si>
  <si>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</si>
  <si>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</si>
  <si>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</si>
  <si>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</si>
  <si>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</si>
  <si>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</si>
  <si>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</si>
  <si>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</si>
  <si>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</si>
  <si>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</si>
  <si>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</si>
  <si>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</si>
  <si>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</si>
  <si>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</si>
  <si>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</si>
  <si>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</si>
  <si>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</si>
  <si>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</si>
  <si>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</si>
  <si>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</si>
  <si>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</si>
  <si>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</si>
  <si>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</si>
  <si>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</si>
  <si>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</si>
  <si>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</si>
  <si>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</si>
  <si>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</si>
  <si>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</si>
  <si>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</si>
  <si>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</si>
  <si>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</si>
  <si>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</si>
  <si>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</si>
  <si>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</si>
  <si>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</si>
  <si>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</si>
  <si>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</si>
  <si>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</si>
  <si>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</si>
  <si>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</si>
  <si>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</si>
  <si>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</si>
  <si>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</si>
  <si>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</si>
  <si>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</si>
  <si>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</si>
  <si>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</si>
  <si>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</si>
  <si>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</si>
  <si>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</si>
  <si>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</si>
  <si>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</si>
  <si>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</si>
  <si>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</si>
  <si>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</si>
  <si>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</si>
  <si>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</si>
  <si>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</si>
  <si>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</si>
  <si>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</si>
  <si>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</si>
  <si>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</si>
  <si>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</si>
  <si>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</si>
  <si>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</si>
  <si>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</si>
  <si>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</si>
  <si>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</si>
  <si>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</si>
  <si>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</si>
  <si>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</si>
  <si>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</si>
  <si>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</si>
  <si>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</si>
  <si>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</si>
  <si>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</si>
  <si>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</si>
  <si>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</si>
  <si>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</si>
  <si>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</si>
  <si>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</si>
  <si>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</si>
  <si>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</si>
  <si>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</si>
  <si>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</si>
  <si>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</si>
  <si>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</si>
  <si>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</si>
  <si>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</si>
  <si>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</si>
  <si>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</si>
  <si>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</si>
  <si>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</si>
  <si>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</si>
  <si>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</si>
  <si>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</si>
  <si>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</si>
  <si>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</si>
  <si>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</si>
  <si>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</si>
  <si>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</si>
  <si>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</si>
  <si>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</si>
  <si>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</si>
  <si>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</si>
  <si>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</si>
  <si>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</si>
  <si>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</si>
  <si>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</si>
  <si>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</si>
  <si>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</si>
  <si>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</si>
  <si>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</si>
  <si>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</si>
  <si>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</si>
  <si>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</si>
  <si>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</si>
  <si>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</si>
  <si>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</si>
  <si>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</si>
  <si>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</si>
  <si>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</si>
  <si>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</si>
  <si>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</si>
  <si>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</si>
  <si>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</si>
  <si>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</si>
  <si>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</si>
  <si>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</si>
  <si>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</si>
  <si>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</si>
  <si>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</si>
  <si>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</si>
  <si>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</si>
  <si>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</si>
  <si>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</si>
  <si>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</si>
  <si>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</si>
  <si>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</si>
  <si>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</si>
  <si>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</si>
  <si>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</si>
  <si>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</si>
  <si>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</si>
  <si>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</si>
  <si>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</si>
  <si>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</si>
  <si>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</si>
  <si>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</si>
  <si>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</si>
  <si>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</si>
  <si>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</si>
  <si>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</si>
  <si>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</si>
  <si>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</si>
  <si>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</si>
  <si>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</si>
  <si>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</si>
  <si>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</si>
  <si>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</si>
  <si>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</si>
  <si>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</si>
  <si>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</si>
  <si>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</si>
  <si>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</si>
  <si>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</si>
  <si>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</si>
  <si>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</si>
  <si>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</si>
  <si>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</si>
  <si>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</si>
  <si>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</si>
  <si>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</si>
  <si>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</si>
  <si>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</si>
  <si>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</si>
  <si>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</si>
  <si>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</si>
  <si>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</si>
  <si>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</si>
  <si>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</si>
  <si>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</si>
  <si>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</si>
  <si>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</si>
  <si>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</si>
  <si>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</si>
  <si>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</si>
  <si>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</si>
  <si>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</si>
  <si>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</si>
  <si>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</si>
  <si>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</si>
  <si>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</si>
  <si>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</si>
  <si>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</si>
  <si>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</si>
  <si>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</si>
  <si>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</si>
  <si>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</si>
  <si>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</si>
  <si>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</si>
  <si>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</si>
  <si>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</si>
  <si>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</si>
  <si>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</si>
  <si>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</si>
  <si>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</si>
  <si>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</si>
  <si>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</si>
  <si>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</si>
  <si>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</si>
  <si>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</si>
  <si>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</si>
  <si>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</si>
  <si>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</si>
  <si>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</si>
  <si>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</si>
  <si>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</si>
  <si>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</si>
  <si>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</si>
  <si>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</si>
  <si>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</si>
  <si>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</si>
  <si>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</si>
  <si>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</si>
  <si>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</si>
  <si>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</si>
  <si>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</si>
  <si>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</si>
  <si>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</si>
  <si>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</si>
  <si>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</si>
  <si>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</si>
  <si>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</si>
  <si>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</si>
  <si>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</si>
  <si>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</si>
  <si>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</si>
  <si>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</si>
  <si>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</si>
  <si>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</si>
  <si>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</si>
  <si>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</si>
  <si>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</si>
  <si>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</si>
  <si>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</si>
  <si>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</si>
  <si>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</si>
  <si>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</si>
  <si>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</si>
  <si>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</si>
  <si>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</si>
  <si>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</si>
  <si>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</si>
  <si>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</si>
  <si>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</si>
  <si>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</si>
  <si>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</si>
  <si>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</si>
  <si>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</si>
  <si>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</si>
  <si>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</si>
  <si>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</si>
  <si>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</si>
  <si>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</si>
  <si>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</si>
  <si>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</si>
  <si>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</si>
  <si>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</si>
  <si>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</si>
  <si>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</si>
  <si>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</si>
  <si>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</si>
  <si>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</si>
  <si>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</si>
  <si>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</si>
  <si>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</si>
  <si>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</si>
  <si>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</si>
  <si>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</si>
  <si>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</si>
  <si>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</si>
  <si>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</si>
  <si>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</si>
  <si>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</si>
  <si>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</si>
  <si>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</si>
  <si>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</si>
  <si>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</si>
  <si>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</si>
  <si>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</si>
  <si>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</si>
  <si>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</si>
  <si>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</si>
  <si>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</si>
  <si>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</si>
  <si>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</si>
  <si>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</si>
  <si>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</si>
  <si>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</si>
  <si>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</si>
  <si>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</si>
  <si>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</si>
  <si>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</si>
  <si>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</si>
  <si>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</si>
  <si>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</si>
  <si>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</si>
  <si>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</si>
  <si>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</si>
  <si>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</si>
  <si>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</si>
  <si>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</si>
  <si>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</si>
  <si>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</si>
  <si>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</si>
  <si>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</si>
  <si>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</si>
  <si>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</si>
  <si>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</si>
  <si>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</si>
  <si>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</si>
  <si>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</si>
  <si>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</si>
  <si>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</si>
  <si>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</si>
  <si>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</si>
  <si>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</si>
  <si>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</si>
  <si>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</si>
  <si>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</si>
  <si>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</si>
  <si>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</si>
  <si>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</si>
  <si>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</si>
  <si>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</si>
  <si>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</si>
  <si>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</si>
  <si>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</si>
  <si>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</si>
  <si>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</si>
  <si>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</si>
  <si>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</si>
  <si>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</si>
  <si>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</si>
  <si>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</si>
  <si>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</si>
  <si>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</si>
  <si>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</si>
  <si>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</si>
  <si>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</si>
  <si>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</si>
  <si>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</si>
  <si>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</si>
  <si>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</si>
  <si>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</si>
  <si>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</si>
  <si>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</si>
  <si>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</si>
  <si>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</si>
  <si>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</si>
  <si>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</si>
  <si>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</si>
  <si>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</si>
  <si>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</si>
  <si>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</si>
  <si>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</si>
  <si>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</si>
  <si>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</si>
  <si>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</si>
  <si>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</si>
  <si>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</si>
  <si>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</si>
  <si>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</si>
  <si>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</si>
  <si>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</si>
  <si>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</si>
  <si>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</si>
  <si>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</si>
  <si>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</si>
  <si>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</si>
  <si>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</si>
  <si>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</si>
  <si>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</si>
  <si>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</si>
  <si>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</si>
  <si>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</si>
  <si>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</si>
  <si>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</si>
  <si>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</si>
  <si>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</si>
  <si>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</si>
  <si>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</si>
  <si>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</si>
  <si>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</si>
  <si>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</si>
  <si>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</si>
  <si>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</si>
  <si>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</si>
  <si>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</si>
  <si>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</si>
  <si>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</si>
  <si>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</si>
  <si>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</si>
  <si>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</si>
  <si>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</si>
  <si>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</si>
  <si>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</si>
  <si>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</si>
  <si>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</si>
  <si>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</si>
  <si>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</si>
  <si>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</si>
  <si>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</si>
  <si>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</si>
  <si>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</si>
  <si>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</si>
  <si>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</si>
  <si>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</si>
  <si>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</si>
  <si>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</si>
  <si>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</si>
  <si>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Merrimack Valley School District</t>
  </si>
  <si>
    <t>Audit Adjustment to 2018  financial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</si>
</sst>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91" zoomScaleNormal="91" workbookViewId="0">
      <pane xSplit="5" ySplit="3" topLeftCell="F640"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352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1511647</f>
        <v>1511647</v>
      </c>
      <c r="G9" s="18">
        <v>5496</v>
      </c>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f>2434+33671</f>
        <v>36105</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182406</v>
      </c>
      <c r="G12" s="18"/>
      <c r="H12" s="18">
        <f>42802+14524</f>
        <v>57326</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41736</v>
      </c>
      <c r="H13" s="18">
        <f>164549</f>
        <v>164549</v>
      </c>
      <c r="I13" s="18"/>
      <c r="J13" s="67">
        <f>SUM(I442)</f>
        <v>633897</v>
      </c>
      <c r="K13" s="24" t="s">
        <v>288</v>
      </c>
      <c r="L13" s="24" t="s">
        <v>288</v>
      </c>
      <c r="M13" s="8"/>
      <c r="N13" s="266"/>
    </row>
    <row r="14" spans="1:14" s="3" customFormat="1" ht="12.2" customHeight="1" x14ac:dyDescent="0.15">
      <c r="A14" s="1" t="s">
        <v>565</v>
      </c>
      <c r="B14" s="2" t="s">
        <v>289</v>
      </c>
      <c r="C14" s="6">
        <v>6</v>
      </c>
      <c r="D14" s="2" t="s">
        <v>428</v>
      </c>
      <c r="E14" s="6">
        <v>150</v>
      </c>
      <c r="F14" s="18">
        <f>30916+439+1894+4328</f>
        <v>37577</v>
      </c>
      <c r="G14" s="18">
        <v>1041</v>
      </c>
      <c r="H14" s="18">
        <f>1964+29580-15210</f>
        <v>16334</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10321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1767735</v>
      </c>
      <c r="G19" s="41">
        <f>SUM(G9:G18)</f>
        <v>58594</v>
      </c>
      <c r="H19" s="41">
        <f>SUM(H9:H18)</f>
        <v>238209</v>
      </c>
      <c r="I19" s="41">
        <f>SUM(I9:I18)</f>
        <v>0</v>
      </c>
      <c r="J19" s="41">
        <f>SUM(J9:J18)</f>
        <v>633897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104545</v>
      </c>
      <c r="H22" s="18">
        <f>124075-123+11113</f>
        <v>135065</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v>30639</v>
      </c>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f>36598-30639</f>
        <v>5959</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434970</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17+1340+7435+1985+1801788+16256+228-380-48</f>
        <v>1828621</v>
      </c>
      <c r="G28" s="18"/>
      <c r="H28" s="18">
        <f>53730</f>
        <v>53730</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f>64144+4778</f>
        <v>68922</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2263591</v>
      </c>
      <c r="G32" s="41">
        <f>SUM(G22:G31)</f>
        <v>141143</v>
      </c>
      <c r="H32" s="41">
        <f>SUM(H22:H31)</f>
        <v>257717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10321</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-92870</v>
      </c>
      <c r="H48" s="18">
        <v>-19508</v>
      </c>
      <c r="I48" s="18"/>
      <c r="J48" s="13">
        <f>SUM(I459)</f>
        <v>633897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-495856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-495856</v>
      </c>
      <c r="G51" s="41">
        <f>SUM(G35:G50)</f>
        <v>-82549</v>
      </c>
      <c r="H51" s="41">
        <f>SUM(H35:H50)</f>
        <v>-19508</v>
      </c>
      <c r="I51" s="41">
        <f>SUM(I35:I50)</f>
        <v>0</v>
      </c>
      <c r="J51" s="41">
        <f>SUM(J35:J50)</f>
        <v>633897</v>
      </c>
      <c r="K51" s="45" t="s">
        <v>288</v>
      </c>
      <c r="L51" s="45" t="s">
        <v>288</v>
      </c>
      <c r="N51" s="264"/>
    </row>
    <row r="52" spans="1:14" s="3" customFormat="1" ht="12.2" customHeight="1" thickTop="1" x14ac:dyDescent="0.15">
      <c r="A52" s="38" t="s">
        <v>455</v>
      </c>
      <c r="B52" s="39" t="s">
        <v>289</v>
      </c>
      <c r="C52" s="6">
        <v>37</v>
      </c>
      <c r="D52" s="39" t="s">
        <v>653</v>
      </c>
      <c r="E52" s="39"/>
      <c r="F52" s="41">
        <f>F51+F32</f>
        <v>1767735</v>
      </c>
      <c r="G52" s="41">
        <f>G51+G32</f>
        <v>58594</v>
      </c>
      <c r="H52" s="41">
        <f>H51+H32</f>
        <v>238209</v>
      </c>
      <c r="I52" s="41">
        <f>I51+I32</f>
        <v>0</v>
      </c>
      <c r="J52" s="41">
        <f>J51+J32</f>
        <v>633897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7356744+3945216+6964274+2165616+2606417</f>
        <v>23038267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65945</v>
      </c>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23104212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950873</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81673</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1032546</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797</f>
        <v>797</v>
      </c>
      <c r="G96" s="18">
        <v>67</v>
      </c>
      <c r="H96" s="18"/>
      <c r="I96" s="18"/>
      <c r="J96" s="18">
        <f>3989+10220</f>
        <v>14209</v>
      </c>
      <c r="K96" s="24" t="s">
        <v>288</v>
      </c>
      <c r="L96" s="24" t="s">
        <v>288</v>
      </c>
      <c r="M96" s="8"/>
      <c r="N96" s="266"/>
    </row>
    <row r="97" spans="1:14" s="3" customFormat="1" ht="12.2" customHeight="1" x14ac:dyDescent="0.15">
      <c r="A97" s="1" t="s">
        <v>503</v>
      </c>
      <c r="B97" s="2" t="s">
        <v>315</v>
      </c>
      <c r="C97" s="6">
        <v>12</v>
      </c>
      <c r="D97" s="2" t="s">
        <v>430</v>
      </c>
      <c r="E97" s="6">
        <v>1600</v>
      </c>
      <c r="F97" s="24" t="s">
        <v>288</v>
      </c>
      <c r="G97" s="18">
        <f>42088+29276+44408+14904+15438+157674+320294+15426</f>
        <v>639508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30860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320888</f>
        <v>320888</v>
      </c>
      <c r="G110" s="18">
        <v>14826</v>
      </c>
      <c r="H110" s="18"/>
      <c r="I110" s="18"/>
      <c r="J110" s="18">
        <f>6038+15469</f>
        <v>21507</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352545</v>
      </c>
      <c r="G111" s="41">
        <f>SUM(G96:G110)</f>
        <v>654401</v>
      </c>
      <c r="H111" s="41">
        <f>SUM(H96:H110)</f>
        <v>0</v>
      </c>
      <c r="I111" s="41">
        <f>SUM(I96:I110)</f>
        <v>0</v>
      </c>
      <c r="J111" s="41">
        <f>SUM(J96:J110)</f>
        <v>35716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24489303</v>
      </c>
      <c r="G112" s="41">
        <f>G60+G111</f>
        <v>654401</v>
      </c>
      <c r="H112" s="41">
        <f>H60+H79+H94+H111</f>
        <v>0</v>
      </c>
      <c r="I112" s="41">
        <f>I60+I111</f>
        <v>0</v>
      </c>
      <c r="J112" s="41">
        <f>J60+J111</f>
        <v>35716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9822896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3191253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27375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13041524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194594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154462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23871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13931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173270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546197</v>
      </c>
      <c r="G136" s="41">
        <f>SUM(G123:G135)</f>
        <v>13931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13587721</v>
      </c>
      <c r="G140" s="41">
        <f>G121+SUM(G136:G137)</f>
        <v>13931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517781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384456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591062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391815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49854</v>
      </c>
      <c r="G161" s="18">
        <v>30131</v>
      </c>
      <c r="H161" s="18">
        <f>109136+36872</f>
        <v>146008</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441669</v>
      </c>
      <c r="G162" s="41">
        <f>SUM(G150:G161)</f>
        <v>414587</v>
      </c>
      <c r="H162" s="41">
        <f>SUM(H150:H161)</f>
        <v>1254851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441669</v>
      </c>
      <c r="G169" s="41">
        <f>G147+G162+SUM(G163:G168)</f>
        <v>414587</v>
      </c>
      <c r="H169" s="41">
        <f>H147+H162+SUM(H163:H168)</f>
        <v>1254851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38518693</v>
      </c>
      <c r="G193" s="47">
        <f>G112+G140+G169+G192</f>
        <v>1082919</v>
      </c>
      <c r="H193" s="47">
        <f>H112+H140+H169+H192</f>
        <v>1254851</v>
      </c>
      <c r="I193" s="47">
        <f>I112+I140+I169+I192</f>
        <v>0</v>
      </c>
      <c r="J193" s="47">
        <f>J112+J140+J192</f>
        <v>35716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4288451+276512</f>
        <v>4564963</v>
      </c>
      <c r="G197" s="18">
        <v>1851916</v>
      </c>
      <c r="H197" s="18">
        <v>3896</v>
      </c>
      <c r="I197" s="18">
        <f>87568+87919</f>
        <v>175487</v>
      </c>
      <c r="J197" s="18">
        <v>39982</v>
      </c>
      <c r="K197" s="18"/>
      <c r="L197" s="19">
        <f>SUM(F197:K197)</f>
        <v>6636244</v>
      </c>
      <c r="M197" s="8"/>
      <c r="N197" s="266"/>
    </row>
    <row r="198" spans="1:14" s="3" customFormat="1" ht="12.2" customHeight="1" x14ac:dyDescent="0.15">
      <c r="A198" s="1" t="s">
        <v>439</v>
      </c>
      <c r="B198" s="2" t="s">
        <v>341</v>
      </c>
      <c r="C198" s="2" t="s">
        <v>291</v>
      </c>
      <c r="D198" s="2" t="s">
        <v>431</v>
      </c>
      <c r="E198" s="6">
        <v>1200</v>
      </c>
      <c r="F198" s="18">
        <f>2068087+61090</f>
        <v>2129177</v>
      </c>
      <c r="G198" s="18">
        <v>912164</v>
      </c>
      <c r="H198" s="18">
        <f>712571+98024</f>
        <v>810595</v>
      </c>
      <c r="I198" s="18">
        <f>2643+1204</f>
        <v>3847</v>
      </c>
      <c r="J198" s="18">
        <v>866</v>
      </c>
      <c r="K198" s="18"/>
      <c r="L198" s="19">
        <f>SUM(F198:K198)</f>
        <v>3856649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56188</v>
      </c>
      <c r="G200" s="18">
        <v>49148</v>
      </c>
      <c r="H200" s="18"/>
      <c r="I200" s="18"/>
      <c r="J200" s="18"/>
      <c r="K200" s="18">
        <v>144</v>
      </c>
      <c r="L200" s="19">
        <f>SUM(F200:K200)</f>
        <v>105480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617590+478682</f>
        <v>1096272</v>
      </c>
      <c r="G202" s="18">
        <v>567835</v>
      </c>
      <c r="H202" s="18">
        <f>313457+34457</f>
        <v>347914</v>
      </c>
      <c r="I202" s="18">
        <f>5153+3935</f>
        <v>9088</v>
      </c>
      <c r="J202" s="18">
        <v>156</v>
      </c>
      <c r="K202" s="18">
        <v>937</v>
      </c>
      <c r="L202" s="19">
        <f t="shared" ref="L202:L208" si="0">SUM(F202:K202)</f>
        <v>2022202</v>
      </c>
      <c r="M202" s="8"/>
      <c r="N202" s="266"/>
    </row>
    <row r="203" spans="1:14" s="3" customFormat="1" ht="12.2" customHeight="1" x14ac:dyDescent="0.15">
      <c r="A203" s="1" t="s">
        <v>443</v>
      </c>
      <c r="B203" s="2" t="s">
        <v>341</v>
      </c>
      <c r="C203" s="2" t="s">
        <v>295</v>
      </c>
      <c r="D203" s="2" t="s">
        <v>431</v>
      </c>
      <c r="E203" s="6">
        <v>2200</v>
      </c>
      <c r="F203" s="18">
        <f>93970+170024</f>
        <v>263994</v>
      </c>
      <c r="G203" s="18">
        <v>152658</v>
      </c>
      <c r="H203" s="18">
        <f>205+46689</f>
        <v>46894</v>
      </c>
      <c r="I203" s="18">
        <f>8478+30166</f>
        <v>38644</v>
      </c>
      <c r="J203" s="18">
        <v>70517</v>
      </c>
      <c r="K203" s="18"/>
      <c r="L203" s="19">
        <f t="shared" si="0"/>
        <v>572707</v>
      </c>
      <c r="M203" s="8"/>
      <c r="N203" s="266"/>
    </row>
    <row r="204" spans="1:14" s="3" customFormat="1" ht="12.2" customHeight="1" x14ac:dyDescent="0.15">
      <c r="A204" s="1" t="s">
        <v>444</v>
      </c>
      <c r="B204" s="2" t="s">
        <v>341</v>
      </c>
      <c r="C204" s="2" t="s">
        <v>296</v>
      </c>
      <c r="D204" s="2" t="s">
        <v>431</v>
      </c>
      <c r="E204" s="6">
        <v>2300</v>
      </c>
      <c r="F204" s="18">
        <v>24702</v>
      </c>
      <c r="G204" s="18">
        <v>10739</v>
      </c>
      <c r="H204" s="18">
        <f>912+406136</f>
        <v>407048</v>
      </c>
      <c r="I204" s="18">
        <v>1768</v>
      </c>
      <c r="J204" s="18"/>
      <c r="K204" s="18">
        <v>2689</v>
      </c>
      <c r="L204" s="19">
        <f t="shared" si="0"/>
        <v>446946</v>
      </c>
      <c r="M204" s="8"/>
      <c r="N204" s="266"/>
    </row>
    <row r="205" spans="1:14" s="3" customFormat="1" ht="12.2" customHeight="1" x14ac:dyDescent="0.15">
      <c r="A205" s="1" t="s">
        <v>445</v>
      </c>
      <c r="B205" s="2" t="s">
        <v>341</v>
      </c>
      <c r="C205" s="2" t="s">
        <v>297</v>
      </c>
      <c r="D205" s="2" t="s">
        <v>431</v>
      </c>
      <c r="E205" s="6">
        <v>2400</v>
      </c>
      <c r="F205" s="18">
        <v>634781</v>
      </c>
      <c r="G205" s="18">
        <v>261413</v>
      </c>
      <c r="H205" s="18">
        <v>31048</v>
      </c>
      <c r="I205" s="18">
        <f>444+5245</f>
        <v>5689</v>
      </c>
      <c r="J205" s="18">
        <v>28098</v>
      </c>
      <c r="K205" s="18">
        <v>4122</v>
      </c>
      <c r="L205" s="19">
        <f t="shared" si="0"/>
        <v>965151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391798+276722</f>
        <v>668520</v>
      </c>
      <c r="G207" s="18">
        <v>279727</v>
      </c>
      <c r="H207" s="18">
        <f>153161+195328</f>
        <v>348489</v>
      </c>
      <c r="I207" s="18">
        <f>479804+67670</f>
        <v>547474</v>
      </c>
      <c r="J207" s="18">
        <v>41150</v>
      </c>
      <c r="K207" s="18"/>
      <c r="L207" s="19">
        <f t="shared" si="0"/>
        <v>1885360</v>
      </c>
      <c r="M207" s="8"/>
      <c r="N207" s="266"/>
    </row>
    <row r="208" spans="1:14" s="3" customFormat="1" ht="12.2" customHeight="1" x14ac:dyDescent="0.15">
      <c r="A208" s="1" t="s">
        <v>448</v>
      </c>
      <c r="B208" s="2" t="s">
        <v>341</v>
      </c>
      <c r="C208" s="2" t="s">
        <v>300</v>
      </c>
      <c r="D208" s="2" t="s">
        <v>431</v>
      </c>
      <c r="E208" s="6">
        <v>2700</v>
      </c>
      <c r="F208" s="18">
        <f>49252+442086</f>
        <v>491338</v>
      </c>
      <c r="G208" s="18">
        <v>143574</v>
      </c>
      <c r="H208" s="18">
        <v>196292</v>
      </c>
      <c r="I208" s="18">
        <v>61287</v>
      </c>
      <c r="J208" s="18">
        <v>105184</v>
      </c>
      <c r="K208" s="18">
        <v>305</v>
      </c>
      <c r="L208" s="19">
        <f t="shared" si="0"/>
        <v>997980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9929935</v>
      </c>
      <c r="G211" s="41">
        <f t="shared" si="1"/>
        <v>4229174</v>
      </c>
      <c r="H211" s="41">
        <f t="shared" si="1"/>
        <v>2192176</v>
      </c>
      <c r="I211" s="41">
        <f t="shared" si="1"/>
        <v>843284</v>
      </c>
      <c r="J211" s="41">
        <f t="shared" si="1"/>
        <v>285953</v>
      </c>
      <c r="K211" s="41">
        <f t="shared" si="1"/>
        <v>8197</v>
      </c>
      <c r="L211" s="41">
        <f t="shared" si="1"/>
        <v>17488719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2246112+144853</f>
        <v>2390965</v>
      </c>
      <c r="G215" s="18">
        <v>970138</v>
      </c>
      <c r="H215" s="18">
        <v>1141</v>
      </c>
      <c r="I215" s="18">
        <f>24826+46057</f>
        <v>70883</v>
      </c>
      <c r="J215" s="18">
        <v>35212</v>
      </c>
      <c r="K215" s="18"/>
      <c r="L215" s="19">
        <f>SUM(F215:K215)</f>
        <v>3468339</v>
      </c>
      <c r="M215" s="8"/>
      <c r="N215" s="266"/>
    </row>
    <row r="216" spans="1:14" s="3" customFormat="1" ht="12.2" customHeight="1" x14ac:dyDescent="0.15">
      <c r="A216" s="1" t="s">
        <v>439</v>
      </c>
      <c r="B216" s="2" t="s">
        <v>346</v>
      </c>
      <c r="C216" s="2" t="s">
        <v>291</v>
      </c>
      <c r="D216" s="2" t="s">
        <v>431</v>
      </c>
      <c r="E216" s="6">
        <v>1200</v>
      </c>
      <c r="F216" s="18">
        <f>878398+32002</f>
        <v>910400</v>
      </c>
      <c r="G216" s="18">
        <v>477843</v>
      </c>
      <c r="H216" s="18">
        <f>527636+51350</f>
        <v>578986</v>
      </c>
      <c r="I216" s="18">
        <f>2935+631</f>
        <v>3566</v>
      </c>
      <c r="J216" s="18">
        <v>453</v>
      </c>
      <c r="K216" s="18"/>
      <c r="L216" s="19">
        <f>SUM(F216:K216)</f>
        <v>1971248</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74763</v>
      </c>
      <c r="G218" s="18">
        <v>25746</v>
      </c>
      <c r="H218" s="18"/>
      <c r="I218" s="18">
        <v>23000</v>
      </c>
      <c r="J218" s="18">
        <v>24892</v>
      </c>
      <c r="K218" s="18">
        <f>325+75</f>
        <v>400</v>
      </c>
      <c r="L218" s="19">
        <f>SUM(F218:K218)</f>
        <v>148801</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406345+250761</f>
        <v>657106</v>
      </c>
      <c r="G220" s="18">
        <v>297464</v>
      </c>
      <c r="H220" s="18">
        <f>67255+18051</f>
        <v>85306</v>
      </c>
      <c r="I220" s="18">
        <f>1659+2061</f>
        <v>3720</v>
      </c>
      <c r="J220" s="18">
        <v>82</v>
      </c>
      <c r="K220" s="18">
        <v>491</v>
      </c>
      <c r="L220" s="19">
        <f t="shared" ref="L220:L226" si="2">SUM(F220:K220)</f>
        <v>1044169</v>
      </c>
      <c r="M220" s="8"/>
      <c r="N220" s="266"/>
    </row>
    <row r="221" spans="1:14" s="3" customFormat="1" ht="12.2" customHeight="1" x14ac:dyDescent="0.15">
      <c r="A221" s="1" t="s">
        <v>443</v>
      </c>
      <c r="B221" s="2" t="s">
        <v>346</v>
      </c>
      <c r="C221" s="2" t="s">
        <v>295</v>
      </c>
      <c r="D221" s="2" t="s">
        <v>431</v>
      </c>
      <c r="E221" s="6">
        <v>2200</v>
      </c>
      <c r="F221" s="18">
        <f>78963+89068</f>
        <v>168031</v>
      </c>
      <c r="G221" s="18">
        <v>79971</v>
      </c>
      <c r="H221" s="18">
        <v>24458</v>
      </c>
      <c r="I221" s="18">
        <f>15820+15803</f>
        <v>31623</v>
      </c>
      <c r="J221" s="18">
        <f>990+36941</f>
        <v>37931</v>
      </c>
      <c r="K221" s="18">
        <v>20</v>
      </c>
      <c r="L221" s="19">
        <f t="shared" si="2"/>
        <v>342034</v>
      </c>
      <c r="M221" s="8"/>
      <c r="N221" s="266"/>
    </row>
    <row r="222" spans="1:14" s="3" customFormat="1" ht="12.2" customHeight="1" x14ac:dyDescent="0.15">
      <c r="A222" s="1" t="s">
        <v>444</v>
      </c>
      <c r="B222" s="2" t="s">
        <v>346</v>
      </c>
      <c r="C222" s="2" t="s">
        <v>296</v>
      </c>
      <c r="D222" s="2" t="s">
        <v>431</v>
      </c>
      <c r="E222" s="6">
        <v>2300</v>
      </c>
      <c r="F222" s="18">
        <v>12941</v>
      </c>
      <c r="G222" s="18">
        <v>5626</v>
      </c>
      <c r="H222" s="18">
        <v>212757</v>
      </c>
      <c r="I222" s="18">
        <v>926</v>
      </c>
      <c r="J222" s="18"/>
      <c r="K222" s="18">
        <v>1409</v>
      </c>
      <c r="L222" s="19">
        <f t="shared" si="2"/>
        <v>233659</v>
      </c>
      <c r="M222" s="8"/>
      <c r="N222" s="266"/>
    </row>
    <row r="223" spans="1:14" s="3" customFormat="1" ht="12.2" customHeight="1" x14ac:dyDescent="0.15">
      <c r="A223" s="1" t="s">
        <v>445</v>
      </c>
      <c r="B223" s="2" t="s">
        <v>346</v>
      </c>
      <c r="C223" s="2" t="s">
        <v>297</v>
      </c>
      <c r="D223" s="2" t="s">
        <v>431</v>
      </c>
      <c r="E223" s="6">
        <v>2400</v>
      </c>
      <c r="F223" s="18">
        <v>279431</v>
      </c>
      <c r="G223" s="18">
        <v>136943</v>
      </c>
      <c r="H223" s="18">
        <v>10155</v>
      </c>
      <c r="I223" s="18">
        <f>73+2747</f>
        <v>2820</v>
      </c>
      <c r="J223" s="18">
        <v>14719</v>
      </c>
      <c r="K223" s="18">
        <v>1384</v>
      </c>
      <c r="L223" s="19">
        <f t="shared" si="2"/>
        <v>445452</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f>126206+144963</f>
        <v>271169</v>
      </c>
      <c r="G225" s="18">
        <v>146537</v>
      </c>
      <c r="H225" s="18">
        <f>58050+102324</f>
        <v>160374</v>
      </c>
      <c r="I225" s="18">
        <f>98469+35449</f>
        <v>133918</v>
      </c>
      <c r="J225" s="18">
        <v>21556</v>
      </c>
      <c r="K225" s="18"/>
      <c r="L225" s="19">
        <f t="shared" si="2"/>
        <v>733554</v>
      </c>
      <c r="M225" s="8"/>
      <c r="N225" s="266"/>
    </row>
    <row r="226" spans="1:14" s="3" customFormat="1" ht="12.2" customHeight="1" x14ac:dyDescent="0.15">
      <c r="A226" s="1" t="s">
        <v>448</v>
      </c>
      <c r="B226" s="2" t="s">
        <v>346</v>
      </c>
      <c r="C226" s="2" t="s">
        <v>300</v>
      </c>
      <c r="D226" s="2" t="s">
        <v>431</v>
      </c>
      <c r="E226" s="6">
        <v>2700</v>
      </c>
      <c r="F226" s="18">
        <f>12726+231590</f>
        <v>244316</v>
      </c>
      <c r="G226" s="18">
        <v>75212</v>
      </c>
      <c r="H226" s="18">
        <f>102829+1</f>
        <v>102830</v>
      </c>
      <c r="I226" s="18">
        <v>32105</v>
      </c>
      <c r="J226" s="18">
        <v>55101</v>
      </c>
      <c r="K226" s="18">
        <v>160</v>
      </c>
      <c r="L226" s="19">
        <f t="shared" si="2"/>
        <v>509724</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5009122</v>
      </c>
      <c r="G229" s="41">
        <f>SUM(G215:G228)</f>
        <v>2215480</v>
      </c>
      <c r="H229" s="41">
        <f>SUM(H215:H228)</f>
        <v>1176007</v>
      </c>
      <c r="I229" s="41">
        <f>SUM(I215:I228)</f>
        <v>302561</v>
      </c>
      <c r="J229" s="41">
        <f>SUM(J215:J228)</f>
        <v>189946</v>
      </c>
      <c r="K229" s="41">
        <f t="shared" si="3"/>
        <v>3864</v>
      </c>
      <c r="L229" s="41">
        <f t="shared" si="3"/>
        <v>8896980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2473395+203995</f>
        <v>2677390</v>
      </c>
      <c r="G233" s="18">
        <f>1366237+36</f>
        <v>1366273</v>
      </c>
      <c r="H233" s="18">
        <v>3908</v>
      </c>
      <c r="I233" s="18">
        <f>95226+64862</f>
        <v>160088</v>
      </c>
      <c r="J233" s="18">
        <v>25903</v>
      </c>
      <c r="K233" s="18"/>
      <c r="L233" s="19">
        <f>SUM(F233:K233)</f>
        <v>4233562</v>
      </c>
      <c r="M233" s="8"/>
      <c r="N233" s="266"/>
    </row>
    <row r="234" spans="1:14" s="3" customFormat="1" ht="12.2" customHeight="1" x14ac:dyDescent="0.15">
      <c r="A234" s="1" t="s">
        <v>439</v>
      </c>
      <c r="B234" s="2" t="s">
        <v>350</v>
      </c>
      <c r="C234" s="2" t="s">
        <v>291</v>
      </c>
      <c r="D234" s="2" t="s">
        <v>431</v>
      </c>
      <c r="E234" s="6">
        <v>1200</v>
      </c>
      <c r="F234" s="18">
        <f>1110846+45068</f>
        <v>1155914</v>
      </c>
      <c r="G234" s="18">
        <v>672942</v>
      </c>
      <c r="H234" s="18">
        <f>448283+72316</f>
        <v>520599</v>
      </c>
      <c r="I234" s="18">
        <f>3491+888</f>
        <v>4379</v>
      </c>
      <c r="J234" s="18">
        <f>14+639</f>
        <v>653</v>
      </c>
      <c r="K234" s="18"/>
      <c r="L234" s="19">
        <f>SUM(F234:K234)</f>
        <v>2354487</v>
      </c>
      <c r="M234" s="8"/>
      <c r="N234" s="266"/>
    </row>
    <row r="235" spans="1:14" s="3" customFormat="1" ht="12.2" customHeight="1" x14ac:dyDescent="0.15">
      <c r="A235" s="1" t="s">
        <v>440</v>
      </c>
      <c r="B235" s="2" t="s">
        <v>350</v>
      </c>
      <c r="C235" s="2" t="s">
        <v>292</v>
      </c>
      <c r="D235" s="2" t="s">
        <v>431</v>
      </c>
      <c r="E235" s="6">
        <v>1300</v>
      </c>
      <c r="F235" s="18"/>
      <c r="G235" s="18"/>
      <c r="H235" s="18">
        <v>301815</v>
      </c>
      <c r="I235" s="18"/>
      <c r="J235" s="18"/>
      <c r="K235" s="18"/>
      <c r="L235" s="19">
        <f>SUM(F235:K235)</f>
        <v>301815</v>
      </c>
      <c r="M235" s="8"/>
      <c r="N235" s="266"/>
    </row>
    <row r="236" spans="1:14" s="3" customFormat="1" ht="12.2" customHeight="1" x14ac:dyDescent="0.15">
      <c r="A236" s="1" t="s">
        <v>441</v>
      </c>
      <c r="B236" s="2" t="s">
        <v>350</v>
      </c>
      <c r="C236" s="2" t="s">
        <v>293</v>
      </c>
      <c r="D236" s="2" t="s">
        <v>431</v>
      </c>
      <c r="E236" s="6">
        <v>1400</v>
      </c>
      <c r="F236" s="18">
        <v>292109</v>
      </c>
      <c r="G236" s="18">
        <v>36258</v>
      </c>
      <c r="H236" s="18">
        <v>33697</v>
      </c>
      <c r="I236" s="18">
        <v>36625</v>
      </c>
      <c r="J236" s="18"/>
      <c r="K236" s="18">
        <f>6167+106</f>
        <v>6273</v>
      </c>
      <c r="L236" s="19">
        <f>SUM(F236:K236)</f>
        <v>404962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468116+353144</f>
        <v>821260</v>
      </c>
      <c r="G238" s="18">
        <v>418916</v>
      </c>
      <c r="H238" s="18">
        <f>190744+25421</f>
        <v>216165</v>
      </c>
      <c r="I238" s="18">
        <f>10143+2903</f>
        <v>13046</v>
      </c>
      <c r="J238" s="18">
        <v>115</v>
      </c>
      <c r="K238" s="18">
        <v>692</v>
      </c>
      <c r="L238" s="19">
        <f t="shared" ref="L238:L244" si="4">SUM(F238:K238)</f>
        <v>1470194</v>
      </c>
      <c r="M238" s="8"/>
      <c r="N238" s="266"/>
    </row>
    <row r="239" spans="1:14" s="3" customFormat="1" ht="12.2" customHeight="1" x14ac:dyDescent="0.15">
      <c r="A239" s="1" t="s">
        <v>443</v>
      </c>
      <c r="B239" s="2" t="s">
        <v>350</v>
      </c>
      <c r="C239" s="2" t="s">
        <v>295</v>
      </c>
      <c r="D239" s="2" t="s">
        <v>431</v>
      </c>
      <c r="E239" s="6">
        <v>2200</v>
      </c>
      <c r="F239" s="18">
        <f>73537+125434</f>
        <v>198971</v>
      </c>
      <c r="G239" s="18">
        <v>112622</v>
      </c>
      <c r="H239" s="18">
        <f>200+34444</f>
        <v>34644</v>
      </c>
      <c r="I239" s="18">
        <f>11815+22255</f>
        <v>34070</v>
      </c>
      <c r="J239" s="18">
        <f>1862+52023</f>
        <v>53885</v>
      </c>
      <c r="K239" s="18"/>
      <c r="L239" s="19">
        <f t="shared" si="4"/>
        <v>434192</v>
      </c>
      <c r="M239" s="8"/>
      <c r="N239" s="266"/>
    </row>
    <row r="240" spans="1:14" s="3" customFormat="1" ht="12.2" customHeight="1" x14ac:dyDescent="0.15">
      <c r="A240" s="1" t="s">
        <v>444</v>
      </c>
      <c r="B240" s="2" t="s">
        <v>350</v>
      </c>
      <c r="C240" s="2" t="s">
        <v>296</v>
      </c>
      <c r="D240" s="2" t="s">
        <v>431</v>
      </c>
      <c r="E240" s="6">
        <v>2300</v>
      </c>
      <c r="F240" s="18">
        <v>18224</v>
      </c>
      <c r="G240" s="18">
        <v>7923</v>
      </c>
      <c r="H240" s="18">
        <f>3646+299624</f>
        <v>303270</v>
      </c>
      <c r="I240" s="18">
        <v>1304</v>
      </c>
      <c r="J240" s="18"/>
      <c r="K240" s="18">
        <v>1984</v>
      </c>
      <c r="L240" s="19">
        <f t="shared" si="4"/>
        <v>332705</v>
      </c>
      <c r="M240" s="8"/>
      <c r="N240" s="266"/>
    </row>
    <row r="241" spans="1:14" s="3" customFormat="1" ht="12.2" customHeight="1" x14ac:dyDescent="0.15">
      <c r="A241" s="1" t="s">
        <v>445</v>
      </c>
      <c r="B241" s="2" t="s">
        <v>350</v>
      </c>
      <c r="C241" s="2" t="s">
        <v>297</v>
      </c>
      <c r="D241" s="2" t="s">
        <v>431</v>
      </c>
      <c r="E241" s="6">
        <v>2400</v>
      </c>
      <c r="F241" s="18">
        <v>412451</v>
      </c>
      <c r="G241" s="18">
        <v>192855</v>
      </c>
      <c r="H241" s="18">
        <v>28610</v>
      </c>
      <c r="I241" s="18">
        <v>3869</v>
      </c>
      <c r="J241" s="18">
        <v>20729</v>
      </c>
      <c r="K241" s="18">
        <v>24031</v>
      </c>
      <c r="L241" s="19">
        <f t="shared" si="4"/>
        <v>682545</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281953+204150</f>
        <v>486103</v>
      </c>
      <c r="G243" s="18">
        <v>206367</v>
      </c>
      <c r="H243" s="18">
        <f>85975+144102</f>
        <v>230077</v>
      </c>
      <c r="I243" s="18">
        <f>193783+49923</f>
        <v>243706</v>
      </c>
      <c r="J243" s="18">
        <v>30358</v>
      </c>
      <c r="K243" s="18"/>
      <c r="L243" s="19">
        <f t="shared" si="4"/>
        <v>1196611</v>
      </c>
      <c r="M243" s="8"/>
      <c r="N243" s="266"/>
    </row>
    <row r="244" spans="1:14" s="3" customFormat="1" ht="12.2" customHeight="1" x14ac:dyDescent="0.15">
      <c r="A244" s="1" t="s">
        <v>448</v>
      </c>
      <c r="B244" s="2" t="s">
        <v>350</v>
      </c>
      <c r="C244" s="2" t="s">
        <v>300</v>
      </c>
      <c r="D244" s="2" t="s">
        <v>431</v>
      </c>
      <c r="E244" s="6">
        <v>2700</v>
      </c>
      <c r="F244" s="18">
        <f>45690+326146</f>
        <v>371836</v>
      </c>
      <c r="G244" s="18">
        <v>105921</v>
      </c>
      <c r="H244" s="18">
        <f>144813-1</f>
        <v>144812</v>
      </c>
      <c r="I244" s="18">
        <v>45214</v>
      </c>
      <c r="J244" s="18">
        <v>77599</v>
      </c>
      <c r="K244" s="18">
        <v>225</v>
      </c>
      <c r="L244" s="19">
        <f t="shared" si="4"/>
        <v>745607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6434258</v>
      </c>
      <c r="G247" s="41">
        <f t="shared" si="5"/>
        <v>3120077</v>
      </c>
      <c r="H247" s="41">
        <f t="shared" si="5"/>
        <v>1817597</v>
      </c>
      <c r="I247" s="41">
        <f t="shared" si="5"/>
        <v>542301</v>
      </c>
      <c r="J247" s="41">
        <f t="shared" si="5"/>
        <v>209242</v>
      </c>
      <c r="K247" s="41">
        <f t="shared" si="5"/>
        <v>33205</v>
      </c>
      <c r="L247" s="41">
        <f t="shared" si="5"/>
        <v>12156680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v>16</v>
      </c>
      <c r="H253" s="18"/>
      <c r="I253" s="18"/>
      <c r="J253" s="18"/>
      <c r="K253" s="18"/>
      <c r="L253" s="19">
        <f t="shared" si="6"/>
        <v>16</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528551</v>
      </c>
      <c r="I255" s="18"/>
      <c r="J255" s="18"/>
      <c r="K255" s="18"/>
      <c r="L255" s="19">
        <f t="shared" si="6"/>
        <v>528551</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16</v>
      </c>
      <c r="H256" s="41">
        <f t="shared" si="7"/>
        <v>528551</v>
      </c>
      <c r="I256" s="41">
        <f t="shared" si="7"/>
        <v>0</v>
      </c>
      <c r="J256" s="41">
        <f t="shared" si="7"/>
        <v>0</v>
      </c>
      <c r="K256" s="41">
        <f t="shared" si="7"/>
        <v>0</v>
      </c>
      <c r="L256" s="41">
        <f>SUM(F256:K256)</f>
        <v>528567</v>
      </c>
      <c r="M256" s="8"/>
      <c r="N256" s="266"/>
    </row>
    <row r="257" spans="1:14" s="3" customFormat="1" ht="12.2" customHeight="1" thickTop="1" x14ac:dyDescent="0.15">
      <c r="A257" s="38" t="s">
        <v>462</v>
      </c>
      <c r="B257" s="40">
        <v>10</v>
      </c>
      <c r="C257" s="40">
        <v>8</v>
      </c>
      <c r="D257" s="39" t="s">
        <v>431</v>
      </c>
      <c r="E257" s="40"/>
      <c r="F257" s="41">
        <f t="shared" ref="F257:L257" si="8">F211+F229+F247+F256</f>
        <v>21373315</v>
      </c>
      <c r="G257" s="41">
        <f t="shared" si="8"/>
        <v>9564747</v>
      </c>
      <c r="H257" s="41">
        <f t="shared" si="8"/>
        <v>5714331</v>
      </c>
      <c r="I257" s="41">
        <f t="shared" si="8"/>
        <v>1688146</v>
      </c>
      <c r="J257" s="41">
        <f t="shared" si="8"/>
        <v>685141</v>
      </c>
      <c r="K257" s="41">
        <f t="shared" si="8"/>
        <v>45266</v>
      </c>
      <c r="L257" s="41">
        <f t="shared" si="8"/>
        <v>39070946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0</v>
      </c>
      <c r="L270" s="41">
        <f t="shared" si="9"/>
        <v>0</v>
      </c>
      <c r="N270" s="264"/>
    </row>
    <row r="271" spans="1:14" s="3" customFormat="1" ht="12.2" customHeight="1" thickTop="1" x14ac:dyDescent="0.2">
      <c r="A271" s="43" t="s">
        <v>464</v>
      </c>
      <c r="B271" s="40">
        <v>10</v>
      </c>
      <c r="C271" s="40">
        <v>18</v>
      </c>
      <c r="D271" s="39" t="s">
        <v>431</v>
      </c>
      <c r="E271" s="40"/>
      <c r="F271" s="42">
        <f t="shared" ref="F271:L271" si="11">F257+F270</f>
        <v>21373315</v>
      </c>
      <c r="G271" s="42">
        <f t="shared" si="11"/>
        <v>9564747</v>
      </c>
      <c r="H271" s="42">
        <f t="shared" si="11"/>
        <v>5714331</v>
      </c>
      <c r="I271" s="42">
        <f t="shared" si="11"/>
        <v>1688146</v>
      </c>
      <c r="J271" s="42">
        <f t="shared" si="11"/>
        <v>685141</v>
      </c>
      <c r="K271" s="42">
        <f t="shared" si="11"/>
        <v>45266</v>
      </c>
      <c r="L271" s="42">
        <f t="shared" si="11"/>
        <v>39070946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23518+135474</f>
        <v>158992</v>
      </c>
      <c r="G276" s="18">
        <f>53710</f>
        <v>53710</v>
      </c>
      <c r="H276" s="18"/>
      <c r="I276" s="18">
        <f>3427</f>
        <v>3427</v>
      </c>
      <c r="J276" s="18">
        <f>872+3052</f>
        <v>3924</v>
      </c>
      <c r="K276" s="18"/>
      <c r="L276" s="19">
        <f>SUM(F276:K276)</f>
        <v>220053</v>
      </c>
      <c r="M276" s="8"/>
      <c r="N276" s="266"/>
    </row>
    <row r="277" spans="1:14" s="3" customFormat="1" ht="12.2" customHeight="1" x14ac:dyDescent="0.15">
      <c r="A277" s="1" t="s">
        <v>439</v>
      </c>
      <c r="B277" s="2" t="s">
        <v>357</v>
      </c>
      <c r="C277" s="2" t="s">
        <v>291</v>
      </c>
      <c r="D277" s="2" t="s">
        <v>431</v>
      </c>
      <c r="E277" s="6">
        <v>1200</v>
      </c>
      <c r="F277" s="18">
        <v>121201</v>
      </c>
      <c r="G277" s="18">
        <v>39154</v>
      </c>
      <c r="H277" s="18">
        <v>3787</v>
      </c>
      <c r="I277" s="18">
        <v>8405</v>
      </c>
      <c r="J277" s="18">
        <v>12945</v>
      </c>
      <c r="K277" s="18"/>
      <c r="L277" s="19">
        <f>SUM(F277:K277)</f>
        <v>185492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16130</v>
      </c>
      <c r="G279" s="18">
        <v>2920</v>
      </c>
      <c r="H279" s="18">
        <v>115</v>
      </c>
      <c r="I279" s="18">
        <v>1447</v>
      </c>
      <c r="J279" s="18"/>
      <c r="K279" s="18"/>
      <c r="L279" s="19">
        <f>SUM(F279:K279)</f>
        <v>20612</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61767</v>
      </c>
      <c r="G281" s="18">
        <v>17337</v>
      </c>
      <c r="H281" s="18"/>
      <c r="I281" s="18"/>
      <c r="J281" s="18"/>
      <c r="K281" s="18"/>
      <c r="L281" s="19">
        <f t="shared" ref="L281:L287" si="12">SUM(F281:K281)</f>
        <v>79104</v>
      </c>
      <c r="M281" s="8"/>
      <c r="N281" s="266"/>
    </row>
    <row r="282" spans="1:14" s="3" customFormat="1" ht="12.2" customHeight="1" x14ac:dyDescent="0.15">
      <c r="A282" s="1" t="s">
        <v>443</v>
      </c>
      <c r="B282" s="2" t="s">
        <v>357</v>
      </c>
      <c r="C282" s="2" t="s">
        <v>295</v>
      </c>
      <c r="D282" s="2" t="s">
        <v>431</v>
      </c>
      <c r="E282" s="6">
        <v>2200</v>
      </c>
      <c r="F282" s="18">
        <v>20278</v>
      </c>
      <c r="G282" s="18">
        <v>5252</v>
      </c>
      <c r="H282" s="18">
        <v>25341</v>
      </c>
      <c r="I282" s="18"/>
      <c r="J282" s="18">
        <v>1438</v>
      </c>
      <c r="K282" s="18"/>
      <c r="L282" s="19">
        <f t="shared" si="12"/>
        <v>52309</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3107</v>
      </c>
      <c r="L285" s="19">
        <f t="shared" si="12"/>
        <v>3107</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f>592+1855</f>
        <v>2447</v>
      </c>
      <c r="G288" s="18">
        <v>171</v>
      </c>
      <c r="H288" s="18"/>
      <c r="I288" s="18"/>
      <c r="J288" s="18"/>
      <c r="K288" s="18"/>
      <c r="L288" s="19">
        <f>SUM(F288:K288)</f>
        <v>2618</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380815</v>
      </c>
      <c r="G290" s="42">
        <f t="shared" si="13"/>
        <v>118544</v>
      </c>
      <c r="H290" s="42">
        <f t="shared" si="13"/>
        <v>29243</v>
      </c>
      <c r="I290" s="42">
        <f t="shared" si="13"/>
        <v>13279</v>
      </c>
      <c r="J290" s="42">
        <f t="shared" si="13"/>
        <v>18307</v>
      </c>
      <c r="K290" s="42">
        <f t="shared" si="13"/>
        <v>3107</v>
      </c>
      <c r="L290" s="41">
        <f t="shared" si="13"/>
        <v>563295</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f>70969</f>
        <v>70969</v>
      </c>
      <c r="G295" s="18">
        <f>28137</f>
        <v>28137</v>
      </c>
      <c r="H295" s="18"/>
      <c r="I295" s="18">
        <v>1795</v>
      </c>
      <c r="J295" s="18">
        <v>1599</v>
      </c>
      <c r="K295" s="18"/>
      <c r="L295" s="19">
        <f>SUM(F295:K295)</f>
        <v>102500</v>
      </c>
      <c r="M295" s="8"/>
      <c r="N295" s="266"/>
    </row>
    <row r="296" spans="1:14" s="3" customFormat="1" ht="12.2" customHeight="1" x14ac:dyDescent="0.15">
      <c r="A296" s="1" t="s">
        <v>439</v>
      </c>
      <c r="B296" s="2" t="s">
        <v>358</v>
      </c>
      <c r="C296" s="2" t="s">
        <v>291</v>
      </c>
      <c r="D296" s="2" t="s">
        <v>431</v>
      </c>
      <c r="E296" s="6">
        <v>1200</v>
      </c>
      <c r="F296" s="18">
        <v>63492</v>
      </c>
      <c r="G296" s="18">
        <v>20511</v>
      </c>
      <c r="H296" s="18">
        <v>1984</v>
      </c>
      <c r="I296" s="18">
        <v>4403</v>
      </c>
      <c r="J296" s="18">
        <v>6782</v>
      </c>
      <c r="K296" s="18"/>
      <c r="L296" s="19">
        <f>SUM(F296:K296)</f>
        <v>97172</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32357</v>
      </c>
      <c r="G300" s="18">
        <v>9082</v>
      </c>
      <c r="H300" s="18"/>
      <c r="I300" s="18"/>
      <c r="J300" s="18"/>
      <c r="K300" s="18"/>
      <c r="L300" s="19">
        <f t="shared" ref="L300:L306" si="14">SUM(F300:K300)</f>
        <v>41439</v>
      </c>
      <c r="M300" s="8"/>
      <c r="N300" s="266"/>
    </row>
    <row r="301" spans="1:14" s="3" customFormat="1" ht="12.2" customHeight="1" x14ac:dyDescent="0.15">
      <c r="A301" s="1" t="s">
        <v>443</v>
      </c>
      <c r="B301" s="2" t="s">
        <v>358</v>
      </c>
      <c r="C301" s="2" t="s">
        <v>295</v>
      </c>
      <c r="D301" s="2" t="s">
        <v>431</v>
      </c>
      <c r="E301" s="6">
        <v>2200</v>
      </c>
      <c r="F301" s="18">
        <v>10623</v>
      </c>
      <c r="G301" s="18">
        <v>2751</v>
      </c>
      <c r="H301" s="18">
        <v>13275</v>
      </c>
      <c r="I301" s="18"/>
      <c r="J301" s="18">
        <v>753</v>
      </c>
      <c r="K301" s="18"/>
      <c r="L301" s="19">
        <f t="shared" si="14"/>
        <v>27402</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v>1627</v>
      </c>
      <c r="L304" s="19">
        <f t="shared" si="14"/>
        <v>1627</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177441</v>
      </c>
      <c r="G309" s="42">
        <f t="shared" si="15"/>
        <v>60481</v>
      </c>
      <c r="H309" s="42">
        <f t="shared" si="15"/>
        <v>15259</v>
      </c>
      <c r="I309" s="42">
        <f t="shared" si="15"/>
        <v>6198</v>
      </c>
      <c r="J309" s="42">
        <f t="shared" si="15"/>
        <v>9134</v>
      </c>
      <c r="K309" s="42">
        <f t="shared" si="15"/>
        <v>1627</v>
      </c>
      <c r="L309" s="41">
        <f t="shared" si="15"/>
        <v>270140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99945</f>
        <v>99945</v>
      </c>
      <c r="G314" s="18">
        <f>39624</f>
        <v>39624</v>
      </c>
      <c r="H314" s="18"/>
      <c r="I314" s="18">
        <v>2528</v>
      </c>
      <c r="J314" s="18">
        <v>2252</v>
      </c>
      <c r="K314" s="18"/>
      <c r="L314" s="19">
        <f>SUM(F314:K314)</f>
        <v>144349</v>
      </c>
      <c r="M314" s="8"/>
      <c r="N314" s="266"/>
    </row>
    <row r="315" spans="1:14" s="3" customFormat="1" ht="12.2" customHeight="1" x14ac:dyDescent="0.15">
      <c r="A315" s="1" t="s">
        <v>439</v>
      </c>
      <c r="B315" s="2" t="s">
        <v>359</v>
      </c>
      <c r="C315" s="2" t="s">
        <v>291</v>
      </c>
      <c r="D315" s="2" t="s">
        <v>431</v>
      </c>
      <c r="E315" s="6">
        <v>1200</v>
      </c>
      <c r="F315" s="18">
        <v>89415</v>
      </c>
      <c r="G315" s="18">
        <v>28885</v>
      </c>
      <c r="H315" s="18">
        <v>2794</v>
      </c>
      <c r="I315" s="18">
        <v>6201</v>
      </c>
      <c r="J315" s="18">
        <v>9550</v>
      </c>
      <c r="K315" s="18"/>
      <c r="L315" s="19">
        <f>SUM(F315:K315)</f>
        <v>136845</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45568</v>
      </c>
      <c r="G319" s="18">
        <v>12790</v>
      </c>
      <c r="H319" s="18"/>
      <c r="I319" s="18"/>
      <c r="J319" s="18"/>
      <c r="K319" s="18"/>
      <c r="L319" s="19">
        <f t="shared" ref="L319:L325" si="16">SUM(F319:K319)</f>
        <v>58358</v>
      </c>
      <c r="M319" s="8"/>
      <c r="N319" s="266"/>
    </row>
    <row r="320" spans="1:14" s="3" customFormat="1" ht="12.2" customHeight="1" x14ac:dyDescent="0.15">
      <c r="A320" s="1" t="s">
        <v>443</v>
      </c>
      <c r="B320" s="2" t="s">
        <v>359</v>
      </c>
      <c r="C320" s="2" t="s">
        <v>295</v>
      </c>
      <c r="D320" s="2" t="s">
        <v>431</v>
      </c>
      <c r="E320" s="6">
        <v>2200</v>
      </c>
      <c r="F320" s="18">
        <v>14960</v>
      </c>
      <c r="G320" s="18">
        <v>3874</v>
      </c>
      <c r="H320" s="18">
        <f>18695-11</f>
        <v>18684</v>
      </c>
      <c r="I320" s="18"/>
      <c r="J320" s="18">
        <v>1061</v>
      </c>
      <c r="K320" s="18"/>
      <c r="L320" s="19">
        <f t="shared" si="16"/>
        <v>38579</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v>2292</v>
      </c>
      <c r="L323" s="19">
        <f t="shared" si="16"/>
        <v>2292</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249888</v>
      </c>
      <c r="G328" s="42">
        <f t="shared" si="17"/>
        <v>85173</v>
      </c>
      <c r="H328" s="42">
        <f t="shared" si="17"/>
        <v>21478</v>
      </c>
      <c r="I328" s="42">
        <f t="shared" si="17"/>
        <v>8729</v>
      </c>
      <c r="J328" s="42">
        <f t="shared" si="17"/>
        <v>12863</v>
      </c>
      <c r="K328" s="42">
        <f t="shared" si="17"/>
        <v>2292</v>
      </c>
      <c r="L328" s="41">
        <f t="shared" si="17"/>
        <v>380423</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v>2225</v>
      </c>
      <c r="G335" s="18">
        <v>437</v>
      </c>
      <c r="H335" s="18">
        <v>1488</v>
      </c>
      <c r="I335" s="18">
        <v>2590</v>
      </c>
      <c r="J335" s="18"/>
      <c r="K335" s="18"/>
      <c r="L335" s="19">
        <f t="shared" si="18"/>
        <v>6740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2225</v>
      </c>
      <c r="G337" s="41">
        <f t="shared" si="19"/>
        <v>437</v>
      </c>
      <c r="H337" s="41">
        <f t="shared" si="19"/>
        <v>1488</v>
      </c>
      <c r="I337" s="41">
        <f t="shared" si="19"/>
        <v>2590</v>
      </c>
      <c r="J337" s="41">
        <f t="shared" si="19"/>
        <v>0</v>
      </c>
      <c r="K337" s="41">
        <f t="shared" si="19"/>
        <v>0</v>
      </c>
      <c r="L337" s="41">
        <f t="shared" si="18"/>
        <v>6740</v>
      </c>
      <c r="M337" s="8"/>
      <c r="N337" s="266"/>
    </row>
    <row r="338" spans="1:43" s="3" customFormat="1" ht="12.2" customHeight="1" thickTop="1" x14ac:dyDescent="0.15">
      <c r="A338" s="38" t="s">
        <v>468</v>
      </c>
      <c r="B338" s="40">
        <v>14</v>
      </c>
      <c r="C338" s="40">
        <v>7</v>
      </c>
      <c r="D338" s="39" t="s">
        <v>431</v>
      </c>
      <c r="E338" s="40"/>
      <c r="F338" s="41">
        <f t="shared" ref="F338:L338" si="20">F290+F309+F328+F337</f>
        <v>810369</v>
      </c>
      <c r="G338" s="41">
        <f t="shared" si="20"/>
        <v>264635</v>
      </c>
      <c r="H338" s="41">
        <f t="shared" si="20"/>
        <v>67468</v>
      </c>
      <c r="I338" s="41">
        <f t="shared" si="20"/>
        <v>30796</v>
      </c>
      <c r="J338" s="41">
        <f t="shared" si="20"/>
        <v>40304</v>
      </c>
      <c r="K338" s="41">
        <f t="shared" si="20"/>
        <v>7026</v>
      </c>
      <c r="L338" s="41">
        <f t="shared" si="20"/>
        <v>1220598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810369</v>
      </c>
      <c r="G352" s="41">
        <f>G338</f>
        <v>264635</v>
      </c>
      <c r="H352" s="41">
        <f>H338</f>
        <v>67468</v>
      </c>
      <c r="I352" s="41">
        <f>I338</f>
        <v>30796</v>
      </c>
      <c r="J352" s="41">
        <f>J338</f>
        <v>40304</v>
      </c>
      <c r="K352" s="47">
        <f>K338+K351</f>
        <v>7026</v>
      </c>
      <c r="L352" s="41">
        <f>L338+L351</f>
        <v>1220598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178290+35889</f>
        <v>214179</v>
      </c>
      <c r="G358" s="18">
        <v>52381</v>
      </c>
      <c r="H358" s="18">
        <f>5710+2985</f>
        <v>8695</v>
      </c>
      <c r="I358" s="18">
        <f>176541+711</f>
        <v>177252</v>
      </c>
      <c r="J358" s="18"/>
      <c r="K358" s="18">
        <v>62</v>
      </c>
      <c r="L358" s="13">
        <f>SUM(F358:K358)</f>
        <v>452569</v>
      </c>
      <c r="N358" s="264"/>
      <c r="R358" s="3"/>
      <c r="S358" s="3"/>
      <c r="T358" s="3"/>
      <c r="U358" s="3"/>
      <c r="V358" s="3"/>
    </row>
    <row r="359" spans="1:22" s="3" customFormat="1" ht="12.2" customHeight="1" x14ac:dyDescent="0.15">
      <c r="A359" s="1" t="s">
        <v>542</v>
      </c>
      <c r="B359" s="2" t="s">
        <v>366</v>
      </c>
      <c r="C359" s="6">
        <v>2</v>
      </c>
      <c r="D359" s="2" t="s">
        <v>431</v>
      </c>
      <c r="E359" s="6"/>
      <c r="F359" s="18">
        <f>75432+18801</f>
        <v>94233</v>
      </c>
      <c r="G359" s="18">
        <v>27440</v>
      </c>
      <c r="H359" s="18">
        <f>9167+1564</f>
        <v>10731</v>
      </c>
      <c r="I359" s="18">
        <f>109429+372</f>
        <v>109801</v>
      </c>
      <c r="J359" s="18"/>
      <c r="K359" s="18">
        <v>32</v>
      </c>
      <c r="L359" s="19">
        <f>SUM(F359:K359)</f>
        <v>242237</v>
      </c>
      <c r="M359" s="8"/>
      <c r="N359" s="266"/>
    </row>
    <row r="360" spans="1:22" s="3" customFormat="1" ht="12.2" customHeight="1" x14ac:dyDescent="0.15">
      <c r="A360" s="3" t="s">
        <v>543</v>
      </c>
      <c r="B360" s="2" t="s">
        <v>366</v>
      </c>
      <c r="C360" s="6">
        <v>3</v>
      </c>
      <c r="D360" s="2" t="s">
        <v>431</v>
      </c>
      <c r="E360" s="6"/>
      <c r="F360" s="18">
        <f>160710+26477</f>
        <v>187187</v>
      </c>
      <c r="G360" s="18">
        <v>38644</v>
      </c>
      <c r="H360" s="18">
        <f>5060+2202+9928</f>
        <v>17190</v>
      </c>
      <c r="I360" s="18">
        <f>237392+524-10321</f>
        <v>227595</v>
      </c>
      <c r="J360" s="18"/>
      <c r="K360" s="18">
        <v>46</v>
      </c>
      <c r="L360" s="19">
        <f>SUM(F360:K360)</f>
        <v>470662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495599</v>
      </c>
      <c r="G362" s="47">
        <f t="shared" si="22"/>
        <v>118465</v>
      </c>
      <c r="H362" s="47">
        <f t="shared" si="22"/>
        <v>36616</v>
      </c>
      <c r="I362" s="47">
        <f t="shared" si="22"/>
        <v>514648</v>
      </c>
      <c r="J362" s="47">
        <f t="shared" si="22"/>
        <v>0</v>
      </c>
      <c r="K362" s="47">
        <f t="shared" si="22"/>
        <v>140</v>
      </c>
      <c r="L362" s="47">
        <f t="shared" si="22"/>
        <v>1165468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139668+16527+9513</f>
        <v>165708</v>
      </c>
      <c r="G367" s="18">
        <v>102827</v>
      </c>
      <c r="H367" s="18">
        <f>218282-10311</f>
        <v>207971</v>
      </c>
      <c r="I367" s="56">
        <f>SUM(F367:H367)</f>
        <v>476506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9093+915+558+711+268</f>
        <v>11545</v>
      </c>
      <c r="G368" s="63">
        <f>5491+1100+372</f>
        <v>6963</v>
      </c>
      <c r="H368" s="63">
        <f>19110+524</f>
        <v>19634</v>
      </c>
      <c r="I368" s="56">
        <f>SUM(F368:H368)</f>
        <v>38142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177253</v>
      </c>
      <c r="G369" s="47">
        <f>SUM(G367:G368)</f>
        <v>109790</v>
      </c>
      <c r="H369" s="47">
        <f>SUM(H367:H368)</f>
        <v>227605</v>
      </c>
      <c r="I369" s="47">
        <f>SUM(I367:I368)</f>
        <v>514648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3989</v>
      </c>
      <c r="I396" s="18">
        <v>6038</v>
      </c>
      <c r="J396" s="24" t="s">
        <v>288</v>
      </c>
      <c r="K396" s="24" t="s">
        <v>288</v>
      </c>
      <c r="L396" s="56">
        <f t="shared" si="26"/>
        <v>10027</v>
      </c>
      <c r="M396" s="8"/>
      <c r="N396" s="266"/>
    </row>
    <row r="397" spans="1:14" s="3" customFormat="1" ht="12.2" customHeight="1" x14ac:dyDescent="0.15">
      <c r="A397" s="79" t="s">
        <v>515</v>
      </c>
      <c r="B397" s="2" t="s">
        <v>381</v>
      </c>
      <c r="C397" s="6">
        <v>10</v>
      </c>
      <c r="D397" s="2" t="s">
        <v>432</v>
      </c>
      <c r="E397" s="6"/>
      <c r="F397" s="18"/>
      <c r="G397" s="18"/>
      <c r="H397" s="18">
        <v>10220</v>
      </c>
      <c r="I397" s="18">
        <v>15469</v>
      </c>
      <c r="J397" s="24" t="s">
        <v>288</v>
      </c>
      <c r="K397" s="24" t="s">
        <v>288</v>
      </c>
      <c r="L397" s="56">
        <f t="shared" si="26"/>
        <v>25689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14209</v>
      </c>
      <c r="I401" s="47">
        <f>SUM(I395:I400)</f>
        <v>21507</v>
      </c>
      <c r="J401" s="45" t="s">
        <v>288</v>
      </c>
      <c r="K401" s="45" t="s">
        <v>288</v>
      </c>
      <c r="L401" s="47">
        <f>SUM(L395:L400)</f>
        <v>35716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14209</v>
      </c>
      <c r="I408" s="47">
        <f>I393+I401+I407</f>
        <v>21507</v>
      </c>
      <c r="J408" s="24" t="s">
        <v>288</v>
      </c>
      <c r="K408" s="24" t="s">
        <v>288</v>
      </c>
      <c r="L408" s="47">
        <f>L393+L401+L407</f>
        <v>35716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633897</v>
      </c>
      <c r="H442" s="18"/>
      <c r="I442" s="56">
        <f t="shared" si="33"/>
        <v>633897</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633897</v>
      </c>
      <c r="H446" s="13">
        <f>SUM(H439:H445)</f>
        <v>0</v>
      </c>
      <c r="I446" s="13">
        <f>SUM(I439:I445)</f>
        <v>633897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633897</v>
      </c>
      <c r="H459" s="18"/>
      <c r="I459" s="56">
        <f t="shared" si="34"/>
        <v>633897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633897</v>
      </c>
      <c r="H460" s="83">
        <f>SUM(H454:H459)</f>
        <v>0</v>
      </c>
      <c r="I460" s="83">
        <f>SUM(I454:I459)</f>
        <v>633897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633897</v>
      </c>
      <c r="H461" s="42">
        <f>H452+H460</f>
        <v>0</v>
      </c>
      <c r="I461" s="42">
        <f>I452+I460</f>
        <v>633897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415935</v>
      </c>
      <c r="G465" s="18">
        <v>0</v>
      </c>
      <c r="H465" s="18">
        <v>-53761</v>
      </c>
      <c r="I465" s="18"/>
      <c r="J465" s="18">
        <v>598181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38518693</v>
      </c>
      <c r="G468" s="18">
        <f t="shared" ref="G468:J468" si="35">G193</f>
        <v>1082919</v>
      </c>
      <c r="H468" s="18">
        <f t="shared" si="35"/>
        <v>1254851</v>
      </c>
      <c r="I468" s="18">
        <f t="shared" si="35"/>
        <v>0</v>
      </c>
      <c r="J468" s="18">
        <f t="shared" si="35"/>
        <v>35716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38518693</v>
      </c>
      <c r="G470" s="53">
        <f>SUM(G468:G469)</f>
        <v>1082919</v>
      </c>
      <c r="H470" s="53">
        <f>SUM(H468:H469)</f>
        <v>1254851</v>
      </c>
      <c r="I470" s="53">
        <f>SUM(I468:I469)</f>
        <v>0</v>
      </c>
      <c r="J470" s="53">
        <f>SUM(J468:J469)</f>
        <v>35716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39070946</v>
      </c>
      <c r="G472" s="18">
        <f>L362</f>
        <v>1165468</v>
      </c>
      <c r="H472" s="18">
        <f>L352</f>
        <v>1220598</v>
      </c>
      <c r="I472" s="18">
        <f>L382</f>
        <v>0</v>
      </c>
      <c r="J472" s="18">
        <f>L434</f>
        <v>0</v>
      </c>
      <c r="K472" s="24" t="s">
        <v>288</v>
      </c>
      <c r="L472" s="24" t="s">
        <v>288</v>
      </c>
      <c r="N472" s="265"/>
    </row>
    <row r="473" spans="1:14" s="52" customFormat="1" ht="12.2" customHeight="1" x14ac:dyDescent="0.2">
      <c r="A473" s="93" t="s">
        <v>613</v>
      </c>
      <c r="B473" s="75">
        <v>19</v>
      </c>
      <c r="C473" s="80">
        <v>6</v>
      </c>
      <c r="D473" s="2" t="s">
        <v>432</v>
      </c>
      <c r="E473" s="80"/>
      <c r="F473" s="18">
        <f>342516+17022</f>
        <v>359538</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39430484</v>
      </c>
      <c r="G474" s="53">
        <f>SUM(G472:G473)</f>
        <v>1165468</v>
      </c>
      <c r="H474" s="53">
        <f>SUM(H472:H473)</f>
        <v>1220598</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-495856</v>
      </c>
      <c r="G476" s="53">
        <f>(G465+G470)- G474</f>
        <v>-82549</v>
      </c>
      <c r="H476" s="53">
        <f>(H465+H470)- H474</f>
        <v>-19508</v>
      </c>
      <c r="I476" s="53">
        <f>(I465+I470)- I474</f>
        <v>0</v>
      </c>
      <c r="J476" s="53">
        <f>(J465+J470)- J474</f>
        <v>633897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1611</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6">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6"/>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6"/>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6"/>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6"/>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6"/>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6"/>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6"/>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2068087+182291</f>
        <v>2250378</v>
      </c>
      <c r="G521" s="18">
        <v>951318</v>
      </c>
      <c r="H521" s="18">
        <f>712571+101811</f>
        <v>814382</v>
      </c>
      <c r="I521" s="18">
        <f>2643+9609</f>
        <v>12252</v>
      </c>
      <c r="J521" s="18">
        <f>13811</f>
        <v>13811</v>
      </c>
      <c r="K521" s="18"/>
      <c r="L521" s="88">
        <f>SUM(F521:K521)</f>
        <v>4042141</v>
      </c>
      <c r="N521" s="265"/>
    </row>
    <row r="522" spans="1:14" s="52" customFormat="1" ht="12.2" customHeight="1" x14ac:dyDescent="0.2">
      <c r="A522" s="22" t="s">
        <v>634</v>
      </c>
      <c r="B522" s="105">
        <v>21</v>
      </c>
      <c r="C522" s="115">
        <v>2</v>
      </c>
      <c r="D522" s="2" t="s">
        <v>432</v>
      </c>
      <c r="E522" s="115"/>
      <c r="F522" s="18">
        <f>878398+95494</f>
        <v>973892</v>
      </c>
      <c r="G522" s="18">
        <v>498354</v>
      </c>
      <c r="H522" s="18">
        <f>527636+53334</f>
        <v>580970</v>
      </c>
      <c r="I522" s="18">
        <f>2935+5034</f>
        <v>7969</v>
      </c>
      <c r="J522" s="18">
        <f>7235</f>
        <v>7235</v>
      </c>
      <c r="K522" s="18"/>
      <c r="L522" s="88">
        <f>SUM(F522:K522)</f>
        <v>2068420</v>
      </c>
      <c r="N522" s="265"/>
    </row>
    <row r="523" spans="1:14" s="52" customFormat="1" ht="12.2" customHeight="1" thickBot="1" x14ac:dyDescent="0.25">
      <c r="A523" s="22" t="s">
        <v>635</v>
      </c>
      <c r="B523" s="105">
        <v>21</v>
      </c>
      <c r="C523" s="115">
        <v>3</v>
      </c>
      <c r="D523" s="2" t="s">
        <v>432</v>
      </c>
      <c r="E523" s="115"/>
      <c r="F523" s="18">
        <f>1110846+134483</f>
        <v>1245329</v>
      </c>
      <c r="G523" s="18">
        <v>701827</v>
      </c>
      <c r="H523" s="18">
        <f>448283+75110</f>
        <v>523393</v>
      </c>
      <c r="I523" s="18">
        <f>3491+7089</f>
        <v>10580</v>
      </c>
      <c r="J523" s="18">
        <f>14+10189</f>
        <v>10203</v>
      </c>
      <c r="K523" s="18"/>
      <c r="L523" s="88">
        <f>SUM(F523:K523)</f>
        <v>2491332</v>
      </c>
      <c r="N523" s="265"/>
    </row>
    <row r="524" spans="1:14" s="52" customFormat="1" ht="12.2" customHeight="1" thickTop="1" x14ac:dyDescent="0.2">
      <c r="A524" s="139" t="s">
        <v>63</v>
      </c>
      <c r="B524" s="107">
        <v>21</v>
      </c>
      <c r="C524" s="195">
        <v>4</v>
      </c>
      <c r="D524" s="196" t="s">
        <v>432</v>
      </c>
      <c r="E524" s="195"/>
      <c r="F524" s="108">
        <f>SUM(F521:F523)</f>
        <v>4469599</v>
      </c>
      <c r="G524" s="108">
        <f t="shared" ref="G524:L524" si="37">SUM(G521:G523)</f>
        <v>2151499</v>
      </c>
      <c r="H524" s="108">
        <f t="shared" si="37"/>
        <v>1918745</v>
      </c>
      <c r="I524" s="108">
        <f t="shared" si="37"/>
        <v>30801</v>
      </c>
      <c r="J524" s="108">
        <f t="shared" si="37"/>
        <v>31249</v>
      </c>
      <c r="K524" s="108">
        <f t="shared" si="37"/>
        <v>0</v>
      </c>
      <c r="L524" s="89">
        <f t="shared" si="37"/>
        <v>8601893</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66146+385479</f>
        <v>451625</v>
      </c>
      <c r="G526" s="18">
        <v>194466</v>
      </c>
      <c r="H526" s="18">
        <f>279560</f>
        <v>279560</v>
      </c>
      <c r="I526" s="18">
        <v>44</v>
      </c>
      <c r="J526" s="18"/>
      <c r="K526" s="18"/>
      <c r="L526" s="88">
        <f>SUM(F526:K526)</f>
        <v>925695</v>
      </c>
      <c r="M526" s="8"/>
      <c r="N526" s="266"/>
    </row>
    <row r="527" spans="1:14" s="3" customFormat="1" ht="12.2" customHeight="1" x14ac:dyDescent="0.15">
      <c r="A527" s="22" t="s">
        <v>634</v>
      </c>
      <c r="B527" s="105">
        <v>21</v>
      </c>
      <c r="C527" s="115">
        <v>6</v>
      </c>
      <c r="D527" s="2" t="s">
        <v>432</v>
      </c>
      <c r="E527" s="115"/>
      <c r="F527" s="18">
        <f>27476+201936</f>
        <v>229412</v>
      </c>
      <c r="G527" s="18">
        <v>101872</v>
      </c>
      <c r="H527" s="18">
        <f>47365</f>
        <v>47365</v>
      </c>
      <c r="I527" s="18">
        <v>23</v>
      </c>
      <c r="J527" s="18"/>
      <c r="K527" s="18"/>
      <c r="L527" s="88">
        <f>SUM(F527:K527)</f>
        <v>378672</v>
      </c>
      <c r="M527" s="8"/>
      <c r="N527" s="266"/>
    </row>
    <row r="528" spans="1:14" s="3" customFormat="1" ht="12.2" customHeight="1" thickBot="1" x14ac:dyDescent="0.2">
      <c r="A528" s="22" t="s">
        <v>635</v>
      </c>
      <c r="B528" s="118">
        <v>21</v>
      </c>
      <c r="C528" s="118">
        <v>7</v>
      </c>
      <c r="D528" s="2" t="s">
        <v>432</v>
      </c>
      <c r="E528" s="118"/>
      <c r="F528" s="18">
        <v>284384</v>
      </c>
      <c r="G528" s="18">
        <v>143466</v>
      </c>
      <c r="H528" s="18">
        <f>80793</f>
        <v>80793</v>
      </c>
      <c r="I528" s="18">
        <v>32</v>
      </c>
      <c r="J528" s="18"/>
      <c r="K528" s="18"/>
      <c r="L528" s="88">
        <f>SUM(F528:K528)</f>
        <v>508675</v>
      </c>
      <c r="M528" s="8"/>
      <c r="N528" s="266"/>
    </row>
    <row r="529" spans="1:14" s="3" customFormat="1" ht="12.2" customHeight="1" thickTop="1" x14ac:dyDescent="0.15">
      <c r="A529" s="139" t="s">
        <v>65</v>
      </c>
      <c r="B529" s="107">
        <v>21</v>
      </c>
      <c r="C529" s="107">
        <v>8</v>
      </c>
      <c r="D529" s="158" t="s">
        <v>432</v>
      </c>
      <c r="E529" s="107"/>
      <c r="F529" s="89">
        <f>SUM(F526:F528)</f>
        <v>965421</v>
      </c>
      <c r="G529" s="89">
        <f t="shared" ref="G529:L529" si="38">SUM(G526:G528)</f>
        <v>439804</v>
      </c>
      <c r="H529" s="89">
        <f t="shared" si="38"/>
        <v>407718</v>
      </c>
      <c r="I529" s="89">
        <f t="shared" si="38"/>
        <v>99</v>
      </c>
      <c r="J529" s="89">
        <f t="shared" si="38"/>
        <v>0</v>
      </c>
      <c r="K529" s="89">
        <f t="shared" si="38"/>
        <v>0</v>
      </c>
      <c r="L529" s="89">
        <f t="shared" si="38"/>
        <v>1813042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154970</f>
        <v>154970</v>
      </c>
      <c r="G531" s="18">
        <v>90111</v>
      </c>
      <c r="H531" s="18">
        <f>20011+3421</f>
        <v>23432</v>
      </c>
      <c r="I531" s="18"/>
      <c r="J531" s="18">
        <v>156</v>
      </c>
      <c r="K531" s="18">
        <v>936</v>
      </c>
      <c r="L531" s="88">
        <f>SUM(F531:K531)</f>
        <v>269605</v>
      </c>
      <c r="M531" s="8"/>
      <c r="N531" s="266"/>
    </row>
    <row r="532" spans="1:14" s="3" customFormat="1" ht="12.2" customHeight="1" x14ac:dyDescent="0.15">
      <c r="A532" s="22" t="s">
        <v>634</v>
      </c>
      <c r="B532" s="105">
        <v>21</v>
      </c>
      <c r="C532" s="105">
        <v>10</v>
      </c>
      <c r="D532" s="2" t="s">
        <v>432</v>
      </c>
      <c r="E532" s="105"/>
      <c r="F532" s="18">
        <f>52129+81182</f>
        <v>133311</v>
      </c>
      <c r="G532" s="18">
        <v>47204</v>
      </c>
      <c r="H532" s="18">
        <f>12540+1792</f>
        <v>14332</v>
      </c>
      <c r="I532" s="18"/>
      <c r="J532" s="18">
        <v>92</v>
      </c>
      <c r="K532" s="18">
        <v>490</v>
      </c>
      <c r="L532" s="88">
        <f>SUM(F532:K532)</f>
        <v>195429</v>
      </c>
      <c r="M532" s="8"/>
      <c r="N532" s="266"/>
    </row>
    <row r="533" spans="1:14" s="3" customFormat="1" ht="12.2" customHeight="1" thickBot="1" x14ac:dyDescent="0.2">
      <c r="A533" s="22" t="s">
        <v>635</v>
      </c>
      <c r="B533" s="105">
        <v>21</v>
      </c>
      <c r="C533" s="105">
        <v>11</v>
      </c>
      <c r="D533" s="2" t="s">
        <v>432</v>
      </c>
      <c r="E533" s="105"/>
      <c r="F533" s="18">
        <f>52129+114328</f>
        <v>166457</v>
      </c>
      <c r="G533" s="18">
        <v>66478</v>
      </c>
      <c r="H533" s="18">
        <f>19117+2524</f>
        <v>21641</v>
      </c>
      <c r="I533" s="18"/>
      <c r="J533" s="18">
        <v>115</v>
      </c>
      <c r="K533" s="18">
        <v>691</v>
      </c>
      <c r="L533" s="88">
        <f>SUM(F533:K533)</f>
        <v>255382</v>
      </c>
      <c r="M533" s="8"/>
      <c r="N533" s="266"/>
    </row>
    <row r="534" spans="1:14" s="3" customFormat="1" ht="12.2" customHeight="1" thickTop="1" x14ac:dyDescent="0.15">
      <c r="A534" s="139" t="s">
        <v>67</v>
      </c>
      <c r="B534" s="107">
        <v>21</v>
      </c>
      <c r="C534" s="107">
        <v>12</v>
      </c>
      <c r="D534" s="158" t="s">
        <v>432</v>
      </c>
      <c r="E534" s="107"/>
      <c r="F534" s="89">
        <f>SUM(F531:F533)</f>
        <v>454738</v>
      </c>
      <c r="G534" s="89">
        <f t="shared" ref="G534:L534" si="39">SUM(G531:G533)</f>
        <v>203793</v>
      </c>
      <c r="H534" s="89">
        <f t="shared" si="39"/>
        <v>59405</v>
      </c>
      <c r="I534" s="89">
        <f t="shared" si="39"/>
        <v>0</v>
      </c>
      <c r="J534" s="89">
        <f t="shared" si="39"/>
        <v>363</v>
      </c>
      <c r="K534" s="89">
        <f t="shared" si="39"/>
        <v>2117</v>
      </c>
      <c r="L534" s="89">
        <f t="shared" si="39"/>
        <v>720416</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f>912+17144</f>
        <v>18056</v>
      </c>
      <c r="I536" s="18"/>
      <c r="J536" s="18"/>
      <c r="K536" s="18"/>
      <c r="L536" s="88">
        <f>SUM(F536:K536)</f>
        <v>18056</v>
      </c>
      <c r="M536" s="8"/>
      <c r="N536" s="266"/>
    </row>
    <row r="537" spans="1:14" s="3" customFormat="1" ht="12.2" customHeight="1" x14ac:dyDescent="0.15">
      <c r="A537" s="22" t="s">
        <v>634</v>
      </c>
      <c r="B537" s="105">
        <v>21</v>
      </c>
      <c r="C537" s="105">
        <v>14</v>
      </c>
      <c r="D537" s="2" t="s">
        <v>432</v>
      </c>
      <c r="E537" s="105"/>
      <c r="F537" s="18"/>
      <c r="G537" s="18"/>
      <c r="H537" s="18">
        <f>8981</f>
        <v>8981</v>
      </c>
      <c r="I537" s="18"/>
      <c r="J537" s="18"/>
      <c r="K537" s="18"/>
      <c r="L537" s="88">
        <f>SUM(F537:K537)</f>
        <v>8981</v>
      </c>
      <c r="M537" s="8"/>
      <c r="N537" s="266"/>
    </row>
    <row r="538" spans="1:14" s="3" customFormat="1" ht="12.2" customHeight="1" thickBot="1" x14ac:dyDescent="0.2">
      <c r="A538" s="22" t="s">
        <v>635</v>
      </c>
      <c r="B538" s="105">
        <v>21</v>
      </c>
      <c r="C538" s="105">
        <v>15</v>
      </c>
      <c r="D538" s="2" t="s">
        <v>432</v>
      </c>
      <c r="E538" s="105"/>
      <c r="F538" s="18"/>
      <c r="G538" s="18"/>
      <c r="H538" s="18">
        <f>3646+12648</f>
        <v>16294</v>
      </c>
      <c r="I538" s="18"/>
      <c r="J538" s="18"/>
      <c r="K538" s="18"/>
      <c r="L538" s="88">
        <f>SUM(F538:K538)</f>
        <v>16294</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43331</v>
      </c>
      <c r="I539" s="89">
        <f t="shared" si="40"/>
        <v>0</v>
      </c>
      <c r="J539" s="89">
        <f t="shared" si="40"/>
        <v>0</v>
      </c>
      <c r="K539" s="89">
        <f t="shared" si="40"/>
        <v>0</v>
      </c>
      <c r="L539" s="89">
        <f t="shared" si="40"/>
        <v>43331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108776</v>
      </c>
      <c r="G541" s="18">
        <v>12285</v>
      </c>
      <c r="H541" s="18">
        <v>94133</v>
      </c>
      <c r="I541" s="18"/>
      <c r="J541" s="18"/>
      <c r="K541" s="18"/>
      <c r="L541" s="88">
        <f>SUM(F541:K541)</f>
        <v>215194</v>
      </c>
      <c r="M541" s="8"/>
      <c r="N541" s="266"/>
    </row>
    <row r="542" spans="1:14" s="3" customFormat="1" ht="12.2" customHeight="1" x14ac:dyDescent="0.15">
      <c r="A542" s="22" t="s">
        <v>634</v>
      </c>
      <c r="B542" s="105">
        <v>21</v>
      </c>
      <c r="C542" s="105">
        <v>18</v>
      </c>
      <c r="D542" s="2" t="s">
        <v>432</v>
      </c>
      <c r="E542" s="105"/>
      <c r="F542" s="18">
        <v>56983</v>
      </c>
      <c r="G542" s="18">
        <v>6436</v>
      </c>
      <c r="H542" s="18">
        <v>49312</v>
      </c>
      <c r="I542" s="18"/>
      <c r="J542" s="18"/>
      <c r="K542" s="18"/>
      <c r="L542" s="88">
        <f>SUM(F542:K542)</f>
        <v>112731</v>
      </c>
      <c r="M542" s="8"/>
      <c r="N542" s="266"/>
    </row>
    <row r="543" spans="1:14" s="3" customFormat="1" ht="12.2" customHeight="1" thickBot="1" x14ac:dyDescent="0.2">
      <c r="A543" s="22" t="s">
        <v>635</v>
      </c>
      <c r="B543" s="105">
        <v>21</v>
      </c>
      <c r="C543" s="105">
        <v>19</v>
      </c>
      <c r="D543" s="2" t="s">
        <v>432</v>
      </c>
      <c r="E543" s="105"/>
      <c r="F543" s="18">
        <v>80249</v>
      </c>
      <c r="G543" s="18">
        <v>9063</v>
      </c>
      <c r="H543" s="18">
        <v>69446</v>
      </c>
      <c r="I543" s="18"/>
      <c r="J543" s="18"/>
      <c r="K543" s="18"/>
      <c r="L543" s="88">
        <f>SUM(F543:K543)</f>
        <v>158758</v>
      </c>
      <c r="M543" s="8"/>
      <c r="N543" s="266"/>
    </row>
    <row r="544" spans="1:14" s="3" customFormat="1" ht="12.2" customHeight="1" thickTop="1" thickBot="1" x14ac:dyDescent="0.2">
      <c r="A544" s="130" t="s">
        <v>71</v>
      </c>
      <c r="B544" s="191">
        <v>21</v>
      </c>
      <c r="C544" s="191">
        <v>20</v>
      </c>
      <c r="D544" s="192" t="s">
        <v>432</v>
      </c>
      <c r="E544" s="191"/>
      <c r="F544" s="193">
        <f>SUM(F541:F543)</f>
        <v>246008</v>
      </c>
      <c r="G544" s="193">
        <f t="shared" ref="G544:L544" si="41">SUM(G541:G543)</f>
        <v>27784</v>
      </c>
      <c r="H544" s="193">
        <f t="shared" si="41"/>
        <v>212891</v>
      </c>
      <c r="I544" s="193">
        <f t="shared" si="41"/>
        <v>0</v>
      </c>
      <c r="J544" s="193">
        <f t="shared" si="41"/>
        <v>0</v>
      </c>
      <c r="K544" s="193">
        <f t="shared" si="41"/>
        <v>0</v>
      </c>
      <c r="L544" s="193">
        <f t="shared" si="41"/>
        <v>486683</v>
      </c>
      <c r="M544" s="8"/>
      <c r="N544" s="266"/>
    </row>
    <row r="545" spans="1:14" s="3" customFormat="1" ht="12.2" customHeight="1" thickTop="1" x14ac:dyDescent="0.15">
      <c r="A545" s="98" t="s">
        <v>72</v>
      </c>
      <c r="B545" s="107">
        <v>21</v>
      </c>
      <c r="C545" s="107">
        <v>21</v>
      </c>
      <c r="D545" s="158" t="s">
        <v>432</v>
      </c>
      <c r="E545" s="107"/>
      <c r="F545" s="89">
        <f>F524+F529+F534+F539+F544</f>
        <v>6135766</v>
      </c>
      <c r="G545" s="89">
        <f t="shared" ref="G545:L545" si="42">G524+G529+G534+G539+G544</f>
        <v>2822880</v>
      </c>
      <c r="H545" s="89">
        <f t="shared" si="42"/>
        <v>2642090</v>
      </c>
      <c r="I545" s="89">
        <f t="shared" si="42"/>
        <v>30900</v>
      </c>
      <c r="J545" s="89">
        <f t="shared" si="42"/>
        <v>31612</v>
      </c>
      <c r="K545" s="89">
        <f t="shared" si="42"/>
        <v>2117</v>
      </c>
      <c r="L545" s="89">
        <f t="shared" si="42"/>
        <v>11665365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4042141</v>
      </c>
      <c r="G549" s="87">
        <f>L526</f>
        <v>925695</v>
      </c>
      <c r="H549" s="87">
        <f>L531</f>
        <v>269605</v>
      </c>
      <c r="I549" s="87">
        <f>L536</f>
        <v>18056</v>
      </c>
      <c r="J549" s="87">
        <f>L541</f>
        <v>215194</v>
      </c>
      <c r="K549" s="87">
        <f>SUM(F549:J549)</f>
        <v>5470691</v>
      </c>
      <c r="L549" s="24" t="s">
        <v>288</v>
      </c>
      <c r="M549" s="8"/>
      <c r="N549" s="266"/>
    </row>
    <row r="550" spans="1:14" s="3" customFormat="1" ht="12.2" customHeight="1" x14ac:dyDescent="0.15">
      <c r="A550" s="22" t="s">
        <v>634</v>
      </c>
      <c r="B550" s="75">
        <v>21</v>
      </c>
      <c r="C550" s="75">
        <v>23</v>
      </c>
      <c r="D550" s="2" t="s">
        <v>432</v>
      </c>
      <c r="E550" s="75"/>
      <c r="F550" s="87">
        <f>L522</f>
        <v>2068420</v>
      </c>
      <c r="G550" s="87">
        <f>L527</f>
        <v>378672</v>
      </c>
      <c r="H550" s="87">
        <f>L532</f>
        <v>195429</v>
      </c>
      <c r="I550" s="87">
        <f>L537</f>
        <v>8981</v>
      </c>
      <c r="J550" s="87">
        <f>L542</f>
        <v>112731</v>
      </c>
      <c r="K550" s="87">
        <f>SUM(F550:J550)</f>
        <v>2764233</v>
      </c>
      <c r="L550" s="24" t="s">
        <v>288</v>
      </c>
      <c r="M550" s="8"/>
      <c r="N550" s="266"/>
    </row>
    <row r="551" spans="1:14" s="3" customFormat="1" ht="12.2" customHeight="1" thickBot="1" x14ac:dyDescent="0.2">
      <c r="A551" s="22" t="s">
        <v>635</v>
      </c>
      <c r="B551" s="75">
        <v>21</v>
      </c>
      <c r="C551" s="75">
        <v>24</v>
      </c>
      <c r="D551" s="2" t="s">
        <v>432</v>
      </c>
      <c r="E551" s="75"/>
      <c r="F551" s="87">
        <f>L523</f>
        <v>2491332</v>
      </c>
      <c r="G551" s="87">
        <f>L528</f>
        <v>508675</v>
      </c>
      <c r="H551" s="87">
        <f>L533</f>
        <v>255382</v>
      </c>
      <c r="I551" s="87">
        <f>L538</f>
        <v>16294</v>
      </c>
      <c r="J551" s="87">
        <f>L543</f>
        <v>158758</v>
      </c>
      <c r="K551" s="87">
        <f>SUM(F551:J551)</f>
        <v>3430441</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8601893</v>
      </c>
      <c r="G552" s="89">
        <f t="shared" si="43"/>
        <v>1813042</v>
      </c>
      <c r="H552" s="89">
        <f t="shared" si="43"/>
        <v>720416</v>
      </c>
      <c r="I552" s="89">
        <f t="shared" si="43"/>
        <v>43331</v>
      </c>
      <c r="J552" s="89">
        <f t="shared" si="43"/>
        <v>486683</v>
      </c>
      <c r="K552" s="89">
        <f t="shared" si="43"/>
        <v>11665365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0</v>
      </c>
      <c r="J560" s="108">
        <f t="shared" si="44"/>
        <v>0</v>
      </c>
      <c r="K560" s="108">
        <f t="shared" si="44"/>
        <v>0</v>
      </c>
      <c r="L560" s="89">
        <f t="shared" si="44"/>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f>9653</f>
        <v>9653</v>
      </c>
      <c r="G562" s="18">
        <v>23625</v>
      </c>
      <c r="H562" s="18">
        <v>6</v>
      </c>
      <c r="I562" s="18">
        <v>226</v>
      </c>
      <c r="J562" s="18"/>
      <c r="K562" s="18"/>
      <c r="L562" s="88">
        <f>SUM(F562:K562)</f>
        <v>33510</v>
      </c>
      <c r="M562" s="8"/>
      <c r="N562" s="266"/>
    </row>
    <row r="563" spans="1:14" s="3" customFormat="1" ht="12.2" customHeight="1" x14ac:dyDescent="0.15">
      <c r="A563" s="22" t="s">
        <v>634</v>
      </c>
      <c r="B563" s="105">
        <v>22</v>
      </c>
      <c r="C563" s="115">
        <v>6</v>
      </c>
      <c r="D563" s="2" t="s">
        <v>432</v>
      </c>
      <c r="E563" s="115"/>
      <c r="F563" s="18">
        <f>19306</f>
        <v>19306</v>
      </c>
      <c r="G563" s="18">
        <v>12376</v>
      </c>
      <c r="H563" s="18">
        <v>3</v>
      </c>
      <c r="I563" s="18">
        <v>118</v>
      </c>
      <c r="J563" s="18"/>
      <c r="K563" s="18"/>
      <c r="L563" s="88">
        <f>SUM(F563:K563)</f>
        <v>31803</v>
      </c>
      <c r="M563" s="8"/>
      <c r="N563" s="266"/>
    </row>
    <row r="564" spans="1:14" s="3" customFormat="1" ht="12.2" customHeight="1" thickBot="1" x14ac:dyDescent="0.2">
      <c r="A564" s="22" t="s">
        <v>635</v>
      </c>
      <c r="B564" s="105">
        <v>22</v>
      </c>
      <c r="C564" s="118">
        <v>7</v>
      </c>
      <c r="D564" s="2" t="s">
        <v>432</v>
      </c>
      <c r="E564" s="118"/>
      <c r="F564" s="18">
        <f>41957</f>
        <v>41957</v>
      </c>
      <c r="G564" s="18">
        <v>17429</v>
      </c>
      <c r="H564" s="18">
        <v>5</v>
      </c>
      <c r="I564" s="18">
        <v>167</v>
      </c>
      <c r="J564" s="18"/>
      <c r="K564" s="18"/>
      <c r="L564" s="88">
        <f>SUM(F564:K564)</f>
        <v>59558</v>
      </c>
      <c r="M564" s="8"/>
      <c r="N564" s="266"/>
    </row>
    <row r="565" spans="1:14" s="3" customFormat="1" ht="12.2" customHeight="1" thickTop="1" x14ac:dyDescent="0.15">
      <c r="A565" s="139" t="s">
        <v>65</v>
      </c>
      <c r="B565" s="107">
        <v>22</v>
      </c>
      <c r="C565" s="107">
        <v>8</v>
      </c>
      <c r="D565" s="196" t="s">
        <v>432</v>
      </c>
      <c r="E565" s="107"/>
      <c r="F565" s="89">
        <f t="shared" ref="F565:L565" si="45">SUM(F562:F564)</f>
        <v>70916</v>
      </c>
      <c r="G565" s="89">
        <f t="shared" si="45"/>
        <v>53430</v>
      </c>
      <c r="H565" s="89">
        <f t="shared" si="45"/>
        <v>14</v>
      </c>
      <c r="I565" s="89">
        <f t="shared" si="45"/>
        <v>511</v>
      </c>
      <c r="J565" s="89">
        <f t="shared" si="45"/>
        <v>0</v>
      </c>
      <c r="K565" s="89">
        <f t="shared" si="45"/>
        <v>0</v>
      </c>
      <c r="L565" s="89">
        <f t="shared" si="45"/>
        <v>124871</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70916</v>
      </c>
      <c r="G571" s="89">
        <f t="shared" ref="G571:L571" si="47">G560+G565+G570</f>
        <v>53430</v>
      </c>
      <c r="H571" s="89">
        <f t="shared" si="47"/>
        <v>14</v>
      </c>
      <c r="I571" s="89">
        <f t="shared" si="47"/>
        <v>511</v>
      </c>
      <c r="J571" s="89">
        <f t="shared" si="47"/>
        <v>0</v>
      </c>
      <c r="K571" s="89">
        <f t="shared" si="47"/>
        <v>0</v>
      </c>
      <c r="L571" s="89">
        <f t="shared" si="47"/>
        <v>124871</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8"/>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11368</v>
      </c>
      <c r="G579" s="18"/>
      <c r="H579" s="18"/>
      <c r="I579" s="87">
        <f t="shared" si="48"/>
        <v>11368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570483</v>
      </c>
      <c r="G582" s="18">
        <v>469880</v>
      </c>
      <c r="H582" s="18">
        <v>408518</v>
      </c>
      <c r="I582" s="87">
        <f t="shared" si="48"/>
        <v>1448881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301815</v>
      </c>
      <c r="I584" s="87">
        <f t="shared" si="48"/>
        <v>301815</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47852+340260</f>
        <v>388112</v>
      </c>
      <c r="I591" s="18">
        <f>178248</f>
        <v>178248</v>
      </c>
      <c r="J591" s="18">
        <f>251024</f>
        <v>251024</v>
      </c>
      <c r="K591" s="104">
        <f t="shared" ref="K591:K597" si="49">SUM(H591:J591)</f>
        <v>817384</v>
      </c>
      <c r="L591" s="24" t="s">
        <v>288</v>
      </c>
      <c r="M591" s="8"/>
      <c r="N591" s="266"/>
    </row>
    <row r="592" spans="1:14" s="3" customFormat="1" ht="12.2" customHeight="1" x14ac:dyDescent="0.15">
      <c r="A592" s="3" t="s">
        <v>638</v>
      </c>
      <c r="B592" s="75">
        <v>23</v>
      </c>
      <c r="C592" s="75">
        <v>2</v>
      </c>
      <c r="D592" s="2" t="s">
        <v>432</v>
      </c>
      <c r="E592" s="75"/>
      <c r="F592" s="102">
        <v>2722</v>
      </c>
      <c r="G592" s="103" t="s">
        <v>97</v>
      </c>
      <c r="H592" s="18">
        <f>215194</f>
        <v>215194</v>
      </c>
      <c r="I592" s="18">
        <f>112731</f>
        <v>112731</v>
      </c>
      <c r="J592" s="18">
        <f>158758</f>
        <v>158758</v>
      </c>
      <c r="K592" s="104">
        <f t="shared" si="49"/>
        <v>486683</v>
      </c>
      <c r="L592" s="24" t="s">
        <v>288</v>
      </c>
      <c r="M592" s="8"/>
      <c r="N592" s="266"/>
    </row>
    <row r="593" spans="1:14" s="3" customFormat="1" ht="12.2" customHeight="1" x14ac:dyDescent="0.15">
      <c r="A593" s="3" t="s">
        <v>639</v>
      </c>
      <c r="B593" s="75">
        <v>23</v>
      </c>
      <c r="C593" s="75">
        <v>3</v>
      </c>
      <c r="D593" s="2" t="s">
        <v>432</v>
      </c>
      <c r="E593" s="75"/>
      <c r="F593" s="102">
        <v>2723</v>
      </c>
      <c r="G593" s="103" t="s">
        <v>97</v>
      </c>
      <c r="H593" s="18">
        <f>337</f>
        <v>337</v>
      </c>
      <c r="I593" s="18">
        <f>176</f>
        <v>176</v>
      </c>
      <c r="J593" s="18">
        <f>9674+249</f>
        <v>9923</v>
      </c>
      <c r="K593" s="104">
        <f t="shared" si="49"/>
        <v>10436</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9"/>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1400+99</f>
        <v>1499</v>
      </c>
      <c r="I595" s="18">
        <f>12726+52</f>
        <v>12778</v>
      </c>
      <c r="J595" s="18">
        <f>36016+73</f>
        <v>36089</v>
      </c>
      <c r="K595" s="104">
        <f t="shared" si="49"/>
        <v>50366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f>245640+147199-1</f>
        <v>392838</v>
      </c>
      <c r="I597" s="18">
        <f>128680+77111</f>
        <v>205791</v>
      </c>
      <c r="J597" s="18">
        <f>181219+108595-1</f>
        <v>289813</v>
      </c>
      <c r="K597" s="104">
        <f t="shared" si="49"/>
        <v>888442</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997980</v>
      </c>
      <c r="I598" s="108">
        <f>SUM(I591:I597)</f>
        <v>509724</v>
      </c>
      <c r="J598" s="108">
        <f>SUM(J591:J597)</f>
        <v>745607</v>
      </c>
      <c r="K598" s="108">
        <f>SUM(K591:K597)</f>
        <v>2253311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40854+308028-44623+1</f>
        <v>304260</v>
      </c>
      <c r="I604" s="18">
        <f>61093+161362-23376+1</f>
        <v>199080</v>
      </c>
      <c r="J604" s="18">
        <f>27779+227245-32920+1</f>
        <v>222105</v>
      </c>
      <c r="K604" s="104">
        <f>SUM(H604:J604)</f>
        <v>725445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304260</v>
      </c>
      <c r="I605" s="108">
        <f>SUM(I602:I604)</f>
        <v>199080</v>
      </c>
      <c r="J605" s="108">
        <f>SUM(J602:J604)</f>
        <v>222105</v>
      </c>
      <c r="K605" s="108">
        <f>SUM(K602:K604)</f>
        <v>725445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0</v>
      </c>
      <c r="G614" s="108">
        <f t="shared" si="50"/>
        <v>0</v>
      </c>
      <c r="H614" s="108">
        <f t="shared" si="50"/>
        <v>0</v>
      </c>
      <c r="I614" s="108">
        <f t="shared" si="50"/>
        <v>0</v>
      </c>
      <c r="J614" s="108">
        <f t="shared" si="50"/>
        <v>0</v>
      </c>
      <c r="K614" s="108">
        <f t="shared" si="50"/>
        <v>0</v>
      </c>
      <c r="L614" s="89">
        <f t="shared" si="50"/>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1767735</v>
      </c>
      <c r="H617" s="109">
        <f>SUM(F52)</f>
        <v>1767735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58594</v>
      </c>
      <c r="H618" s="109">
        <f>SUM(G52)</f>
        <v>58594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238209</v>
      </c>
      <c r="H619" s="109">
        <f>SUM(H52)</f>
        <v>238209</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633897</v>
      </c>
      <c r="H621" s="109">
        <f>SUM(J52)</f>
        <v>633897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-495856</v>
      </c>
      <c r="H622" s="109">
        <f>F476</f>
        <v>-495856</v>
      </c>
      <c r="I622" s="121" t="s">
        <v>101</v>
      </c>
      <c r="J622" s="109">
        <f t="shared" ref="J622:J655" si="51">G622-H622</f>
        <v>0</v>
      </c>
      <c r="K622" s="109"/>
      <c r="L622" s="109"/>
      <c r="M622" s="8"/>
    </row>
    <row r="623" spans="1:14" s="3" customFormat="1" ht="12.2" customHeight="1" x14ac:dyDescent="0.15">
      <c r="A623" s="97"/>
      <c r="B623" s="105"/>
      <c r="C623" s="119"/>
      <c r="D623" s="119"/>
      <c r="E623" s="119"/>
      <c r="F623" s="119" t="s">
        <v>866</v>
      </c>
      <c r="G623" s="109">
        <f>G51</f>
        <v>-82549</v>
      </c>
      <c r="H623" s="109">
        <f>G476</f>
        <v>-82549</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-19508</v>
      </c>
      <c r="H624" s="109">
        <f>H476</f>
        <v>-19508</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633897</v>
      </c>
      <c r="H626" s="109">
        <f>J476</f>
        <v>633897</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38518693</v>
      </c>
      <c r="H627" s="104">
        <f>SUM(F468)</f>
        <v>38518693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1082919</v>
      </c>
      <c r="H628" s="104">
        <f>SUM(G468)</f>
        <v>1082919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1254851</v>
      </c>
      <c r="H629" s="104">
        <f>SUM(H468)</f>
        <v>1254851</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35716</v>
      </c>
      <c r="H631" s="104">
        <f>SUM(J468)</f>
        <v>35716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39070946</v>
      </c>
      <c r="H632" s="104">
        <f>SUM(F472)</f>
        <v>39070946</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1220598</v>
      </c>
      <c r="H633" s="104">
        <f>SUM(H472)</f>
        <v>1220598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514648</v>
      </c>
      <c r="H634" s="104">
        <f>I369</f>
        <v>514648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1165468</v>
      </c>
      <c r="H635" s="104">
        <f>SUM(G472)</f>
        <v>1165468</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35716</v>
      </c>
      <c r="H637" s="164">
        <f>SUM(J468)</f>
        <v>35716</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633897</v>
      </c>
      <c r="H640" s="104">
        <f>SUM(G461)</f>
        <v>633897</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633897</v>
      </c>
      <c r="H642" s="104">
        <f>SUM(I461)</f>
        <v>633897</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14209</v>
      </c>
      <c r="H644" s="104">
        <f>H408</f>
        <v>14209</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35716</v>
      </c>
      <c r="H646" s="104">
        <f>L408</f>
        <v>35716</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2253311</v>
      </c>
      <c r="H647" s="104">
        <f>L208+L226+L244</f>
        <v>2253311</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725445</v>
      </c>
      <c r="H648" s="104">
        <f>(J257+J338)-(J255+J336)</f>
        <v>725445</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997980</v>
      </c>
      <c r="H649" s="104">
        <f>H598</f>
        <v>997980</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509724</v>
      </c>
      <c r="H650" s="104">
        <f>I598</f>
        <v>509724</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745607</v>
      </c>
      <c r="H651" s="104">
        <f>J598</f>
        <v>745607</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18504583</v>
      </c>
      <c r="G660" s="19">
        <f>(L229+L309+L359)</f>
        <v>9409357</v>
      </c>
      <c r="H660" s="19">
        <f>(L247+L328+L360)</f>
        <v>13007765</v>
      </c>
      <c r="I660" s="19">
        <f>SUM(F660:H660)</f>
        <v>40921705</v>
      </c>
      <c r="J660" s="13"/>
      <c r="K660" s="13"/>
      <c r="L660" s="13"/>
      <c r="M660" s="9"/>
    </row>
    <row r="661" spans="1:13" s="3" customFormat="1" ht="12.2" customHeight="1" x14ac:dyDescent="0.2">
      <c r="A661" s="1" t="s">
        <v>127</v>
      </c>
      <c r="F661" s="19">
        <f>(L358/IF(SUM(L358:L360)=0,1,SUM(L358:L360))*(SUM(G97:G110)))</f>
        <v>254087.87203595467</v>
      </c>
      <c r="G661" s="19">
        <f>(L359/IF(SUM(L358:L360)=0,1,SUM(L358:L360))*(SUM(G97:G110)))</f>
        <v>136000.22064784277</v>
      </c>
      <c r="H661" s="19">
        <f>(L360/IF(SUM(L358:L360)=0,1,SUM(L358:L360))*(SUM(G97:G110)))</f>
        <v>264245.90731620259</v>
      </c>
      <c r="I661" s="19">
        <f>SUM(F661:H661)</f>
        <v>654334</v>
      </c>
      <c r="J661"/>
      <c r="K661" s="13"/>
      <c r="L661" s="13"/>
      <c r="M661" s="9"/>
    </row>
    <row r="662" spans="1:13" s="3" customFormat="1" ht="12.2" customHeight="1" x14ac:dyDescent="0.2">
      <c r="A662" s="1" t="s">
        <v>128</v>
      </c>
      <c r="F662" s="19">
        <f>(L208+L287)-(J208+J287)</f>
        <v>892796</v>
      </c>
      <c r="G662" s="19">
        <f>(L226+L306)-(J226+J306)</f>
        <v>454623</v>
      </c>
      <c r="H662" s="19">
        <f>(L244+L325)-(J244+J325)</f>
        <v>668008</v>
      </c>
      <c r="I662" s="19">
        <f>SUM(F662:H662)</f>
        <v>2015427</v>
      </c>
      <c r="J662"/>
      <c r="K662" s="13"/>
      <c r="L662" s="13"/>
      <c r="M662" s="8"/>
    </row>
    <row r="663" spans="1:13" s="3" customFormat="1" ht="12.2" customHeight="1" x14ac:dyDescent="0.15">
      <c r="A663" s="198" t="s">
        <v>129</v>
      </c>
      <c r="B663" s="169"/>
      <c r="C663" s="169"/>
      <c r="D663" s="169"/>
      <c r="E663" s="169"/>
      <c r="F663" s="199">
        <f>SUM(F575:F587)+SUM(H602:H604)+SUM(L611)</f>
        <v>886111</v>
      </c>
      <c r="G663" s="199">
        <f>SUM(G575:G587)+SUM(I602:I604)+L612</f>
        <v>668960</v>
      </c>
      <c r="H663" s="199">
        <f>SUM(H575:H587)+SUM(J602:J604)+L613</f>
        <v>932438</v>
      </c>
      <c r="I663" s="19">
        <f>SUM(F663:H663)</f>
        <v>2487509</v>
      </c>
      <c r="J663" s="13"/>
      <c r="K663" s="13"/>
      <c r="L663" s="13"/>
      <c r="M663" s="9"/>
    </row>
    <row r="664" spans="1:13" s="3" customFormat="1" ht="12.2" customHeight="1" x14ac:dyDescent="0.15">
      <c r="A664" s="1" t="s">
        <v>130</v>
      </c>
      <c r="F664" s="19">
        <f>F660-SUM(F661:F663)</f>
        <v>16471588.127964046</v>
      </c>
      <c r="G664" s="19">
        <f>G660-SUM(G661:G663)</f>
        <v>8149773.7793521574</v>
      </c>
      <c r="H664" s="19">
        <f>H660-SUM(H661:H663)</f>
        <v>11143073.092683798</v>
      </c>
      <c r="I664" s="19">
        <f>I660-SUM(I661:I663)</f>
        <v>35764435</v>
      </c>
      <c r="J664" s="13"/>
      <c r="K664" s="13"/>
      <c r="L664" s="13"/>
      <c r="M664" s="9"/>
    </row>
    <row r="665" spans="1:13" s="3" customFormat="1" ht="12.2" customHeight="1" x14ac:dyDescent="0.2">
      <c r="A665" s="1" t="s">
        <v>131</v>
      </c>
      <c r="F665" s="246">
        <v>1007.42</v>
      </c>
      <c r="G665" s="247">
        <v>539.95000000000005</v>
      </c>
      <c r="H665" s="247">
        <v>802.64</v>
      </c>
      <c r="I665" s="19">
        <f>SUM(F665:H665)</f>
        <v>2350.0099999999998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16350.27</v>
      </c>
      <c r="G667" s="19">
        <f>ROUND(G664/G665,2)</f>
        <v>15093.57</v>
      </c>
      <c r="H667" s="19">
        <f>ROUND(H664/H665,2)</f>
        <v>13883.03</v>
      </c>
      <c r="I667" s="19">
        <f>ROUND(I664/I665,2)</f>
        <v>15218.84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-43.22</v>
      </c>
      <c r="I670" s="19">
        <f>SUM(F670:H670)</f>
        <v>-43.22</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16350.27</v>
      </c>
      <c r="G672" s="19">
        <f>ROUND((G664+G669)/(G665+G670),2)</f>
        <v>15093.57</v>
      </c>
      <c r="H672" s="19">
        <f>ROUND((H664+H669)/(H665+H670),2)</f>
        <v>14673.14</v>
      </c>
      <c r="I672" s="19">
        <f>ROUND((I664+I669)/(I665+I670),2)</f>
        <v>15503.98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Merrimack Valley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9963224</v>
      </c>
      <c r="C9" s="229">
        <f>'DOE25'!G197+'DOE25'!G215+'DOE25'!G233+'DOE25'!G276+'DOE25'!G295+'DOE25'!G314</f>
        <v>4309798</v>
      </c>
    </row>
    <row r="10" spans="1:3" x14ac:dyDescent="0.2">
      <c r="A10" t="s">
        <v>775</v>
      </c>
      <c r="B10" s="240">
        <v>9497805</v>
      </c>
      <c r="C10" s="240">
        <f>1781646+13298+18320+1558555+10279+31585+41277+24071+48008+692222</f>
        <v>4219261</v>
      </c>
    </row>
    <row r="11" spans="1:3" x14ac:dyDescent="0.2">
      <c r="A11" t="s">
        <v>776</v>
      </c>
      <c r="B11" s="240">
        <v>465419</v>
      </c>
      <c r="C11" s="240">
        <f>38194+8622+8116+35605</f>
        <v>90537</v>
      </c>
    </row>
    <row r="12" spans="1:3" x14ac:dyDescent="0.2">
      <c r="A12" t="s">
        <v>777</v>
      </c>
      <c r="B12" s="240"/>
      <c r="C12" s="240"/>
    </row>
    <row r="13" spans="1:3" x14ac:dyDescent="0.2">
      <c r="A13" t="str">
        <f>IF(B9=B13,IF(C9=C13,"Check Total OK","Check Total Error"),"Check Total Error")</f>
        <v>Check Total OK</v>
      </c>
      <c r="B13" s="231">
        <f>SUM(B10:B12)</f>
        <v>9963224</v>
      </c>
      <c r="C13" s="231">
        <f>SUM(C10:C12)</f>
        <v>4309798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4469599</v>
      </c>
      <c r="C18" s="229">
        <f>'DOE25'!G198+'DOE25'!G216+'DOE25'!G234+'DOE25'!G277+'DOE25'!G296+'DOE25'!G315</f>
        <v>2151499</v>
      </c>
    </row>
    <row r="19" spans="1:3" x14ac:dyDescent="0.2">
      <c r="A19" t="s">
        <v>775</v>
      </c>
      <c r="B19" s="240">
        <v>2059865</v>
      </c>
      <c r="C19" s="240">
        <f>383146+6338+8139+262537+11169+7574+467+19976+103+141+366+69355+157+700+58739+1369+38392+16765+13474+156690</f>
        <v>1055597</v>
      </c>
    </row>
    <row r="20" spans="1:3" x14ac:dyDescent="0.2">
      <c r="A20" t="s">
        <v>776</v>
      </c>
      <c r="B20" s="240">
        <v>2409734</v>
      </c>
      <c r="C20" s="240">
        <f>764499+46276+1780+17050+2585+79367+184345</f>
        <v>1095902</v>
      </c>
    </row>
    <row r="21" spans="1:3" x14ac:dyDescent="0.2">
      <c r="A21" t="s">
        <v>777</v>
      </c>
      <c r="B21" s="240"/>
      <c r="C21" s="240"/>
    </row>
    <row r="22" spans="1:3" x14ac:dyDescent="0.2">
      <c r="A22" t="str">
        <f>IF(B18=B22,IF(C18=C22,"Check Total OK","Check Total Error"),"Check Total Error")</f>
        <v>Check Total OK</v>
      </c>
      <c r="B22" s="231">
        <f>SUM(B19:B21)</f>
        <v>4469599</v>
      </c>
      <c r="C22" s="231">
        <f>SUM(C19:C21)</f>
        <v>2151499</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439190</v>
      </c>
      <c r="C36" s="235">
        <f>'DOE25'!G200+'DOE25'!G218+'DOE25'!G236+'DOE25'!G279+'DOE25'!G298+'DOE25'!G317</f>
        <v>114072</v>
      </c>
    </row>
    <row r="37" spans="1:3" x14ac:dyDescent="0.2">
      <c r="A37" t="s">
        <v>775</v>
      </c>
      <c r="B37" s="240">
        <v>118344</v>
      </c>
      <c r="C37" s="240">
        <f>23063+264+37906+1182+1686+8794</f>
        <v>72895</v>
      </c>
    </row>
    <row r="38" spans="1:3" x14ac:dyDescent="0.2">
      <c r="A38" t="s">
        <v>776</v>
      </c>
      <c r="B38" s="240">
        <v>320846</v>
      </c>
      <c r="C38" s="240">
        <f>75+16557+24545</f>
        <v>41177</v>
      </c>
    </row>
    <row r="39" spans="1:3" x14ac:dyDescent="0.2">
      <c r="A39" t="s">
        <v>777</v>
      </c>
      <c r="B39" s="240"/>
      <c r="C39" s="240"/>
    </row>
    <row r="40" spans="1:3" x14ac:dyDescent="0.2">
      <c r="A40" t="str">
        <f>IF(B36=B40,IF(C36=C40,"Check Total OK","Check Total Error"),"Check Total Error")</f>
        <v>Check Total OK</v>
      </c>
      <c r="B40" s="231">
        <f>SUM(B37:B39)</f>
        <v>439190</v>
      </c>
      <c r="C40" s="231">
        <f>SUM(C37:C39)</f>
        <v>114072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5" sqref="F5:F6"/>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Merrimack Valley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23481587</v>
      </c>
      <c r="D5" s="20">
        <f>SUM('DOE25'!L197:L200)+SUM('DOE25'!L215:L218)+SUM('DOE25'!L233:L236)-F5-G5-H5</f>
        <v>22924980</v>
      </c>
      <c r="E5" s="243"/>
      <c r="F5" s="244">
        <v>421829</v>
      </c>
      <c r="G5" s="53">
        <f>SUM('DOE25'!J197:J200)+SUM('DOE25'!J215:J218)+SUM('DOE25'!J233:J236)</f>
        <v>127961</v>
      </c>
      <c r="H5" s="53">
        <f>SUM('DOE25'!K197:K200)+SUM('DOE25'!K215:K218)+SUM('DOE25'!K233:K236)</f>
        <v>6817</v>
      </c>
      <c r="I5" s="256"/>
    </row>
    <row r="6" spans="1:9" x14ac:dyDescent="0.2">
      <c r="A6" s="32">
        <v>2100</v>
      </c>
      <c r="B6" t="s">
        <v>796</v>
      </c>
      <c r="C6" s="276">
        <f t="shared" si="0"/>
        <v>4536565</v>
      </c>
      <c r="D6" s="20">
        <f>'DOE25'!L202+'DOE25'!L220+'DOE25'!L238-F6-G6-H6</f>
        <v>4453637</v>
      </c>
      <c r="E6" s="243"/>
      <c r="F6" s="244">
        <v>80455</v>
      </c>
      <c r="G6" s="53">
        <f>'DOE25'!J202+'DOE25'!J220+'DOE25'!J238</f>
        <v>353</v>
      </c>
      <c r="H6" s="53">
        <f>'DOE25'!K202+'DOE25'!K220+'DOE25'!K238</f>
        <v>2120</v>
      </c>
      <c r="I6" s="256"/>
    </row>
    <row r="7" spans="1:9" x14ac:dyDescent="0.2">
      <c r="A7" s="32">
        <v>2200</v>
      </c>
      <c r="B7" t="s">
        <v>821</v>
      </c>
      <c r="C7" s="276">
        <f t="shared" si="0"/>
        <v>1348933</v>
      </c>
      <c r="D7" s="20">
        <f>'DOE25'!L203+'DOE25'!L221+'DOE25'!L239-F7-G7-H7</f>
        <v>1186580</v>
      </c>
      <c r="E7" s="243"/>
      <c r="F7" s="244"/>
      <c r="G7" s="53">
        <f>'DOE25'!J203+'DOE25'!J221+'DOE25'!J239</f>
        <v>162333</v>
      </c>
      <c r="H7" s="53">
        <f>'DOE25'!K203+'DOE25'!K221+'DOE25'!K239</f>
        <v>20</v>
      </c>
      <c r="I7" s="256"/>
    </row>
    <row r="8" spans="1:9" x14ac:dyDescent="0.2">
      <c r="A8" s="32">
        <v>2300</v>
      </c>
      <c r="B8" t="s">
        <v>797</v>
      </c>
      <c r="C8" s="276">
        <f t="shared" si="0"/>
        <v>618026.48499999999</v>
      </c>
      <c r="D8" s="243"/>
      <c r="E8" s="20">
        <f>'DOE25'!L204+'DOE25'!L222+'DOE25'!L240-F8-G8-H8-D9-D11</f>
        <v>611944.48499999999</v>
      </c>
      <c r="F8" s="244"/>
      <c r="G8" s="53">
        <f>'DOE25'!J204+'DOE25'!J222+'DOE25'!J240</f>
        <v>0</v>
      </c>
      <c r="H8" s="53">
        <f>'DOE25'!K204+'DOE25'!K222+'DOE25'!K240</f>
        <v>6082</v>
      </c>
      <c r="I8" s="256"/>
    </row>
    <row r="9" spans="1:9" ht="14.25" x14ac:dyDescent="0.2">
      <c r="A9" s="32">
        <v>2310</v>
      </c>
      <c r="B9" s="185" t="s">
        <v>890</v>
      </c>
      <c r="C9" s="276">
        <f t="shared" si="0"/>
        <v>24014</v>
      </c>
      <c r="D9" s="244">
        <v>24014</v>
      </c>
      <c r="E9" s="243"/>
      <c r="F9" s="253"/>
      <c r="G9" s="253"/>
      <c r="H9" s="253"/>
      <c r="I9" s="256"/>
    </row>
    <row r="10" spans="1:9" ht="14.25" x14ac:dyDescent="0.2">
      <c r="A10" s="32">
        <v>2317</v>
      </c>
      <c r="B10" s="185" t="s">
        <v>891</v>
      </c>
      <c r="C10" s="276">
        <f t="shared" si="0"/>
        <v>41695</v>
      </c>
      <c r="D10" s="243"/>
      <c r="E10" s="244">
        <v>41695</v>
      </c>
      <c r="F10" s="253"/>
      <c r="G10" s="253"/>
      <c r="H10" s="253"/>
      <c r="I10" s="256"/>
    </row>
    <row r="11" spans="1:9" ht="14.25" x14ac:dyDescent="0.2">
      <c r="A11" s="32">
        <v>2321</v>
      </c>
      <c r="B11" s="185" t="s">
        <v>892</v>
      </c>
      <c r="C11" s="276">
        <f t="shared" si="0"/>
        <v>371269.51500000001</v>
      </c>
      <c r="D11" s="244">
        <v>371269.51500000001</v>
      </c>
      <c r="E11" s="243"/>
      <c r="F11" s="253"/>
      <c r="G11" s="253"/>
      <c r="H11" s="253"/>
      <c r="I11" s="256"/>
    </row>
    <row r="12" spans="1:9" x14ac:dyDescent="0.2">
      <c r="A12" s="32">
        <v>2400</v>
      </c>
      <c r="B12" t="s">
        <v>711</v>
      </c>
      <c r="C12" s="276">
        <f t="shared" si="0"/>
        <v>2093148</v>
      </c>
      <c r="D12" s="20">
        <f>'DOE25'!L205+'DOE25'!L223+'DOE25'!L241-F12-G12-H12</f>
        <v>2000065</v>
      </c>
      <c r="E12" s="243"/>
      <c r="F12" s="244"/>
      <c r="G12" s="53">
        <f>'DOE25'!J205+'DOE25'!J223+'DOE25'!J241</f>
        <v>63546</v>
      </c>
      <c r="H12" s="53">
        <f>'DOE25'!K205+'DOE25'!K223+'DOE25'!K241</f>
        <v>29537</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3815525</v>
      </c>
      <c r="D14" s="20">
        <f>'DOE25'!L207+'DOE25'!L225+'DOE25'!L243-F14-G14-H14</f>
        <v>3722461</v>
      </c>
      <c r="E14" s="243"/>
      <c r="F14" s="244"/>
      <c r="G14" s="53">
        <f>'DOE25'!J207+'DOE25'!J225+'DOE25'!J243</f>
        <v>93064</v>
      </c>
      <c r="H14" s="53">
        <f>'DOE25'!K207+'DOE25'!K225+'DOE25'!K243</f>
        <v>0</v>
      </c>
      <c r="I14" s="256"/>
    </row>
    <row r="15" spans="1:9" x14ac:dyDescent="0.2">
      <c r="A15" s="32">
        <v>2700</v>
      </c>
      <c r="B15" t="s">
        <v>799</v>
      </c>
      <c r="C15" s="276">
        <f t="shared" si="0"/>
        <v>2253311</v>
      </c>
      <c r="D15" s="20">
        <f>'DOE25'!L208+'DOE25'!L226+'DOE25'!L244-F15-G15-H15</f>
        <v>2014737</v>
      </c>
      <c r="E15" s="243"/>
      <c r="F15" s="244"/>
      <c r="G15" s="53">
        <f>'DOE25'!J208+'DOE25'!J226+'DOE25'!J244</f>
        <v>237884</v>
      </c>
      <c r="H15" s="53">
        <f>'DOE25'!K208+'DOE25'!K226+'DOE25'!K244</f>
        <v>690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16</v>
      </c>
      <c r="D19" s="20">
        <f>'DOE25'!L253-F19-G19-H19</f>
        <v>16</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528551</v>
      </c>
      <c r="D22" s="243"/>
      <c r="E22" s="243"/>
      <c r="F22" s="243"/>
      <c r="G22" s="53">
        <f>'DOE25'!L255+'DOE25'!L336</f>
        <v>528551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688962</v>
      </c>
      <c r="D29" s="284">
        <f>'DOE25'!L358+'DOE25'!L359+'DOE25'!L360-'DOE25'!I367-F29-G29-H29</f>
        <v>688822</v>
      </c>
      <c r="E29" s="243"/>
      <c r="F29" s="244"/>
      <c r="G29" s="53">
        <f>'DOE25'!J358+'DOE25'!J359+'DOE25'!J360</f>
        <v>0</v>
      </c>
      <c r="H29" s="53">
        <f>'DOE25'!K358+'DOE25'!K359+'DOE25'!K360</f>
        <v>140</v>
      </c>
      <c r="I29" s="256"/>
    </row>
    <row r="30" spans="1:9" x14ac:dyDescent="0.2">
      <c r="A30" s="32"/>
      <c r="C30" s="277"/>
      <c r="D30" s="20"/>
      <c r="E30" s="281"/>
      <c r="F30" s="271"/>
      <c r="G30" s="53"/>
      <c r="H30" s="53"/>
      <c r="I30" s="256"/>
    </row>
    <row r="31" spans="1:9" x14ac:dyDescent="0.2">
      <c r="A31" s="32" t="s">
        <v>818</v>
      </c>
      <c r="B31" t="s">
        <v>817</v>
      </c>
      <c r="C31" s="276">
        <f>SUM(D31:I31)</f>
        <v>1220598</v>
      </c>
      <c r="D31" s="20">
        <f>'DOE25'!L290+'DOE25'!L309+'DOE25'!L328+'DOE25'!L333+'DOE25'!L334+'DOE25'!L335-F31-G31-H31</f>
        <v>1173268</v>
      </c>
      <c r="E31" s="243"/>
      <c r="F31" s="244"/>
      <c r="G31" s="53">
        <f>'DOE25'!J290+'DOE25'!J309+'DOE25'!J328+'DOE25'!J333+'DOE25'!J334+'DOE25'!J335</f>
        <v>40304</v>
      </c>
      <c r="H31" s="53">
        <f>'DOE25'!K290+'DOE25'!K309+'DOE25'!K328+'DOE25'!K333+'DOE25'!K334+'DOE25'!K335</f>
        <v>7026</v>
      </c>
      <c r="I31" s="256"/>
    </row>
    <row r="32" spans="1:9" ht="12" thickBot="1" x14ac:dyDescent="0.25">
      <c r="C32" s="277"/>
      <c r="G32" s="251"/>
      <c r="H32" s="251"/>
      <c r="I32" s="258"/>
    </row>
    <row r="33" spans="1:9" ht="12" thickTop="1" x14ac:dyDescent="0.2">
      <c r="B33" t="s">
        <v>809</v>
      </c>
      <c r="D33" s="245">
        <f t="shared" ref="D33:I33" si="1">SUM(D5:D31)</f>
        <v>38559849.515000001</v>
      </c>
      <c r="E33" s="245">
        <f t="shared" si="1"/>
        <v>653639.48499999999</v>
      </c>
      <c r="F33" s="245">
        <f t="shared" si="1"/>
        <v>502284</v>
      </c>
      <c r="G33" s="245">
        <f t="shared" si="1"/>
        <v>1253996</v>
      </c>
      <c r="H33" s="245">
        <f t="shared" si="1"/>
        <v>52432</v>
      </c>
      <c r="I33" s="245">
        <f t="shared" si="1"/>
        <v>0</v>
      </c>
    </row>
    <row r="35" spans="1:9" ht="12" thickBot="1" x14ac:dyDescent="0.25">
      <c r="B35" s="251" t="s">
        <v>831</v>
      </c>
      <c r="D35" s="252">
        <f>E33</f>
        <v>653639.48499999999</v>
      </c>
      <c r="E35" s="248"/>
    </row>
    <row r="36" spans="1:9" ht="12" thickTop="1" x14ac:dyDescent="0.2">
      <c r="B36" t="s">
        <v>810</v>
      </c>
      <c r="D36" s="20">
        <f>D33</f>
        <v>38559849.515000001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10" sqref="D10"/>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Merrimack Valley School District</v>
      </c>
      <c r="B2" s="126">
        <f>'DOE25'!B2</f>
        <v>352</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18052014</v>
      </c>
      <c r="G4" s="303">
        <f>'DOE25'!L211+'DOE25'!L290</f>
        <v>18052014</v>
      </c>
      <c r="H4" s="304">
        <f>F4-G4</f>
        <v>0</v>
      </c>
      <c r="I4" s="310" t="str">
        <f>IF(H4=0,"","Does not match DOE25 page 7 and 11 Totals!!")</f>
        <v/>
      </c>
      <c r="N4"/>
    </row>
    <row r="5" spans="1:18" x14ac:dyDescent="0.2">
      <c r="A5" s="21" t="s">
        <v>1273</v>
      </c>
      <c r="B5" s="305">
        <f>IFERROR(VLOOKUP(A5,'School Tables'!$C$3:$D$368,2,FALSE),"")</f>
        <v>22155</v>
      </c>
      <c r="C5" s="297" t="str">
        <f>IFERROR(INDEX('School Tables'!$B$3:$B$368,MATCH('School Level Expenditures'!B5,'School Tables'!$D$3:$D$368,0)),"")</f>
        <v>Merrimack Valley</v>
      </c>
      <c r="D5" s="294">
        <f>1889140+618190+1938397-33043+14553</f>
        <v>4427237</v>
      </c>
      <c r="E5" s="294"/>
      <c r="F5" s="313">
        <f>D5+E5</f>
        <v>4427237</v>
      </c>
      <c r="G5" s="297"/>
      <c r="H5" s="297"/>
      <c r="I5" s="126"/>
      <c r="N5"/>
    </row>
    <row r="6" spans="1:18" x14ac:dyDescent="0.2">
      <c r="A6" s="21" t="s">
        <v>1274</v>
      </c>
      <c r="B6" s="305">
        <f>IFERROR(VLOOKUP(A6,'School Tables'!$C$3:$D$368,2,FALSE),"")</f>
        <v>22180</v>
      </c>
      <c r="C6" s="297" t="str">
        <f>IFERROR(INDEX('School Tables'!$B$3:$B$368,MATCH('School Level Expenditures'!B6,'School Tables'!$D$3:$D$368,0)),"")</f>
        <v>Merrimack Valley</v>
      </c>
      <c r="D6" s="294">
        <f>1789110+643539+2017880-34398+15149</f>
        <v>4431280</v>
      </c>
      <c r="E6" s="294"/>
      <c r="F6" s="308">
        <f t="shared" ref="F6:F20" si="0">D6+E6</f>
        <v>4431280</v>
      </c>
      <c r="G6" s="297"/>
      <c r="H6" s="297"/>
      <c r="I6" s="126"/>
      <c r="N6"/>
    </row>
    <row r="7" spans="1:18" x14ac:dyDescent="0.2">
      <c r="A7" s="21" t="s">
        <v>1275</v>
      </c>
      <c r="B7" s="305">
        <f>IFERROR(VLOOKUP(A7,'School Tables'!$C$3:$D$368,2,FALSE),"")</f>
        <v>22185</v>
      </c>
      <c r="C7" s="297" t="str">
        <f>IFERROR(INDEX('School Tables'!$B$3:$B$368,MATCH('School Level Expenditures'!B7,'School Tables'!$D$3:$D$368,0)),"")</f>
        <v>Merrimack Valley</v>
      </c>
      <c r="D7" s="294">
        <f>2308863+878649+2755093-46965+20684</f>
        <v>5916324</v>
      </c>
      <c r="E7" s="294"/>
      <c r="F7" s="308">
        <f t="shared" si="0"/>
        <v>5916324</v>
      </c>
      <c r="G7" s="297"/>
      <c r="H7" s="297"/>
      <c r="I7" s="126"/>
      <c r="N7"/>
    </row>
    <row r="8" spans="1:18" x14ac:dyDescent="0.2">
      <c r="A8" s="21" t="s">
        <v>1277</v>
      </c>
      <c r="B8" s="305">
        <f>IFERROR(VLOOKUP(A8,'School Tables'!$C$3:$D$368,2,FALSE),"")</f>
        <v>22200</v>
      </c>
      <c r="C8" s="297" t="str">
        <f>IFERROR(INDEX('School Tables'!$B$3:$B$368,MATCH('School Level Expenditures'!B8,'School Tables'!$D$3:$D$368,0)),"")</f>
        <v>Merrimack Valley</v>
      </c>
      <c r="D8" s="294">
        <f>955926+204723+641929-10943+4819</f>
        <v>1796454</v>
      </c>
      <c r="E8" s="294"/>
      <c r="F8" s="308">
        <f t="shared" si="0"/>
        <v>1796454</v>
      </c>
      <c r="G8" s="297"/>
      <c r="H8" s="297"/>
      <c r="I8" s="126"/>
      <c r="N8"/>
    </row>
    <row r="9" spans="1:18" x14ac:dyDescent="0.2">
      <c r="A9" s="21" t="s">
        <v>1278</v>
      </c>
      <c r="B9" s="305">
        <f>IFERROR(VLOOKUP(A9,'School Tables'!$C$3:$D$368,2,FALSE),"")</f>
        <v>22205</v>
      </c>
      <c r="C9" s="297" t="str">
        <f>IFERROR(INDEX('School Tables'!$B$3:$B$368,MATCH('School Level Expenditures'!B9,'School Tables'!$D$3:$D$368,0)),"")</f>
        <v>Merrimack Valley</v>
      </c>
      <c r="D9" s="294">
        <f>581778+218950+686539-11703+5155</f>
        <v>1480719</v>
      </c>
      <c r="E9" s="294"/>
      <c r="F9" s="308">
        <f t="shared" si="0"/>
        <v>1480719</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9167120</v>
      </c>
      <c r="G24" s="303">
        <f>'DOE25'!L229+'DOE25'!L309</f>
        <v>9167120</v>
      </c>
      <c r="H24" s="304">
        <f>F24-G24</f>
        <v>0</v>
      </c>
      <c r="I24" s="310" t="str">
        <f>IF(H24=0,"","Does not match DOE25 page 8 and 12 Totals!!")</f>
        <v/>
      </c>
      <c r="N24"/>
    </row>
    <row r="25" spans="1:14" x14ac:dyDescent="0.2">
      <c r="A25" s="21" t="s">
        <v>1272</v>
      </c>
      <c r="B25" s="305">
        <f>IFERROR(VLOOKUP(A25,'School Tables'!$I$3:$J$80,2,FALSE),"")</f>
        <v>26585</v>
      </c>
      <c r="C25" s="297" t="str">
        <f t="array" ref="C25">IFERROR(INDEX('School Tables'!$H$3:$H$80,MATCH('School Level Expenditures'!B25,'School Tables'!$J$3:$J$80,0)),"")</f>
        <v>Merrimack Valley</v>
      </c>
      <c r="D25" s="294">
        <f>4996785+4243325-71796-1194</f>
        <v>9167120</v>
      </c>
      <c r="E25" s="294"/>
      <c r="F25" s="308">
        <f>D25+E25</f>
        <v>9167120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12537103</v>
      </c>
      <c r="G36" s="303">
        <f>'DOE25'!L247+'DOE25'!L328</f>
        <v>12537103</v>
      </c>
      <c r="H36" s="304">
        <f>F36-G36</f>
        <v>0</v>
      </c>
      <c r="I36" s="310" t="str">
        <f>IF(H36=0,"","Does not match DOE25 page 9 and 13 Totals!!")</f>
        <v/>
      </c>
      <c r="N36"/>
    </row>
    <row r="37" spans="1:14" x14ac:dyDescent="0.2">
      <c r="A37" s="21" t="s">
        <v>1276</v>
      </c>
      <c r="B37" s="305">
        <f>IFERROR(VLOOKUP(A37,'School Tables'!$O$3:$P$122,2,FALSE),"")</f>
        <v>22195</v>
      </c>
      <c r="C37" s="297" t="str">
        <f t="array" ref="C37">IFERROR(INDEX('School Tables'!$N$3:$N$122,MATCH('School Level Expenditures'!B37,'School Tables'!$P$3:$P$122,0)),"")</f>
        <v>Merrimack Valley</v>
      </c>
      <c r="D37" s="294">
        <f>6664075+5975837-101109-1700</f>
        <v>12537103</v>
      </c>
      <c r="E37" s="294"/>
      <c r="F37" s="308">
        <f>D37+E37</f>
        <v>12537103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Merrimack Valley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1511647</v>
      </c>
      <c r="D8" s="95">
        <f>'DOE25'!G9</f>
        <v>5496</v>
      </c>
      <c r="E8" s="95">
        <f>'DOE25'!H9</f>
        <v>0</v>
      </c>
      <c r="F8" s="95">
        <f>'DOE25'!I9</f>
        <v>0</v>
      </c>
      <c r="G8" s="95">
        <f>'DOE25'!J9</f>
        <v>0</v>
      </c>
      <c r="H8" s="124"/>
      <c r="I8" s="124"/>
    </row>
    <row r="9" spans="1:9" x14ac:dyDescent="0.2">
      <c r="A9" s="1" t="s">
        <v>140</v>
      </c>
      <c r="B9" s="6">
        <v>110</v>
      </c>
      <c r="C9" s="95">
        <f>'DOE25'!F10</f>
        <v>36105</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182406</v>
      </c>
      <c r="D11" s="95">
        <f>'DOE25'!G12</f>
        <v>0</v>
      </c>
      <c r="E11" s="95">
        <f>'DOE25'!H12</f>
        <v>57326</v>
      </c>
      <c r="F11" s="95">
        <f>'DOE25'!I12</f>
        <v>0</v>
      </c>
      <c r="G11" s="95">
        <f>'DOE25'!J12</f>
        <v>0</v>
      </c>
      <c r="H11" s="124"/>
      <c r="I11" s="124"/>
    </row>
    <row r="12" spans="1:9" x14ac:dyDescent="0.2">
      <c r="A12" s="1" t="s">
        <v>143</v>
      </c>
      <c r="B12" s="6">
        <v>140</v>
      </c>
      <c r="C12" s="95">
        <f>'DOE25'!F13</f>
        <v>0</v>
      </c>
      <c r="D12" s="95">
        <f>'DOE25'!G13</f>
        <v>41736</v>
      </c>
      <c r="E12" s="95">
        <f>'DOE25'!H13</f>
        <v>164549</v>
      </c>
      <c r="F12" s="95">
        <f>'DOE25'!I13</f>
        <v>0</v>
      </c>
      <c r="G12" s="95">
        <f>'DOE25'!J13</f>
        <v>633897</v>
      </c>
      <c r="H12" s="124"/>
      <c r="I12" s="124"/>
    </row>
    <row r="13" spans="1:9" x14ac:dyDescent="0.2">
      <c r="A13" s="1" t="s">
        <v>144</v>
      </c>
      <c r="B13" s="6">
        <v>150</v>
      </c>
      <c r="C13" s="95">
        <f>'DOE25'!F14</f>
        <v>37577</v>
      </c>
      <c r="D13" s="95">
        <f>'DOE25'!G14</f>
        <v>1041</v>
      </c>
      <c r="E13" s="95">
        <f>'DOE25'!H14</f>
        <v>16334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10321</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1767735</v>
      </c>
      <c r="D18" s="41">
        <f>SUM(D8:D17)</f>
        <v>58594</v>
      </c>
      <c r="E18" s="41">
        <f>SUM(E8:E17)</f>
        <v>238209</v>
      </c>
      <c r="F18" s="41">
        <f>SUM(F8:F17)</f>
        <v>0</v>
      </c>
      <c r="G18" s="41">
        <f>SUM(G8:G17)</f>
        <v>633897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104545</v>
      </c>
      <c r="E21" s="95">
        <f>'DOE25'!H22</f>
        <v>135065</v>
      </c>
      <c r="F21" s="95">
        <f>'DOE25'!I22</f>
        <v>0</v>
      </c>
      <c r="G21" s="95">
        <f>'DOE25'!J22</f>
        <v>0</v>
      </c>
      <c r="H21" s="124"/>
      <c r="I21" s="124"/>
    </row>
    <row r="22" spans="1:9" x14ac:dyDescent="0.2">
      <c r="A22" s="1" t="s">
        <v>151</v>
      </c>
      <c r="B22" s="6">
        <v>410</v>
      </c>
      <c r="C22" s="95">
        <f>'DOE25'!F23</f>
        <v>0</v>
      </c>
      <c r="D22" s="95">
        <f>'DOE25'!G23</f>
        <v>30639</v>
      </c>
      <c r="E22" s="95">
        <f>'DOE25'!H23</f>
        <v>0</v>
      </c>
      <c r="F22" s="95">
        <f>'DOE25'!I23</f>
        <v>0</v>
      </c>
      <c r="G22" s="95">
        <f>'DOE25'!J23</f>
        <v>0</v>
      </c>
      <c r="H22" s="124"/>
      <c r="I22" s="124"/>
    </row>
    <row r="23" spans="1:9" x14ac:dyDescent="0.2">
      <c r="A23" s="1" t="s">
        <v>152</v>
      </c>
      <c r="B23" s="6">
        <v>420</v>
      </c>
      <c r="C23" s="95">
        <f>'DOE25'!F24</f>
        <v>0</v>
      </c>
      <c r="D23" s="95">
        <f>'DOE25'!G24</f>
        <v>5959</v>
      </c>
      <c r="E23" s="95">
        <f>'DOE25'!H24</f>
        <v>0</v>
      </c>
      <c r="F23" s="95">
        <f>'DOE25'!I24</f>
        <v>0</v>
      </c>
      <c r="G23" s="95">
        <f>'DOE25'!J24</f>
        <v>0</v>
      </c>
      <c r="H23" s="124"/>
      <c r="I23" s="124"/>
    </row>
    <row r="24" spans="1:9" x14ac:dyDescent="0.2">
      <c r="A24" s="1" t="s">
        <v>153</v>
      </c>
      <c r="B24" s="6">
        <v>430</v>
      </c>
      <c r="C24" s="95">
        <f>'DOE25'!F25</f>
        <v>434970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1828621</v>
      </c>
      <c r="D27" s="95">
        <f>'DOE25'!G28</f>
        <v>0</v>
      </c>
      <c r="E27" s="95">
        <f>'DOE25'!H28</f>
        <v>53730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68922</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2263591</v>
      </c>
      <c r="D31" s="41">
        <f>SUM(D21:D30)</f>
        <v>141143</v>
      </c>
      <c r="E31" s="41">
        <f>SUM(E21:E30)</f>
        <v>257717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10321</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-92870</v>
      </c>
      <c r="E47" s="95">
        <f>'DOE25'!H48</f>
        <v>-19508</v>
      </c>
      <c r="F47" s="95">
        <f>'DOE25'!I48</f>
        <v>0</v>
      </c>
      <c r="G47" s="95">
        <f>'DOE25'!J48</f>
        <v>633897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-495856</v>
      </c>
      <c r="D49" s="24" t="s">
        <v>288</v>
      </c>
      <c r="E49" s="24" t="s">
        <v>288</v>
      </c>
      <c r="F49" s="24" t="s">
        <v>288</v>
      </c>
      <c r="G49" s="24" t="s">
        <v>288</v>
      </c>
      <c r="H49" s="124"/>
      <c r="I49" s="124"/>
    </row>
    <row r="50" spans="1:9" ht="12.75" thickTop="1" thickBot="1" x14ac:dyDescent="0.25">
      <c r="A50" s="38" t="s">
        <v>884</v>
      </c>
      <c r="B50" s="48"/>
      <c r="C50" s="41">
        <f>SUM(C34:C49)</f>
        <v>-495856</v>
      </c>
      <c r="D50" s="41">
        <f>SUM(D34:D49)</f>
        <v>-82549</v>
      </c>
      <c r="E50" s="41">
        <f>SUM(E34:E49)</f>
        <v>-19508</v>
      </c>
      <c r="F50" s="41">
        <f>SUM(F34:F49)</f>
        <v>0</v>
      </c>
      <c r="G50" s="41">
        <f>SUM(G34:G49)</f>
        <v>633897</v>
      </c>
      <c r="H50" s="124"/>
      <c r="I50" s="124"/>
    </row>
    <row r="51" spans="1:9" ht="12" thickTop="1" x14ac:dyDescent="0.2">
      <c r="A51" s="38" t="s">
        <v>885</v>
      </c>
      <c r="B51" s="2"/>
      <c r="C51" s="41">
        <f>C50+C31</f>
        <v>1767735</v>
      </c>
      <c r="D51" s="41">
        <f>D50+D31</f>
        <v>58594</v>
      </c>
      <c r="E51" s="41">
        <f>E50+E31</f>
        <v>238209</v>
      </c>
      <c r="F51" s="41">
        <f>F50+F31</f>
        <v>0</v>
      </c>
      <c r="G51" s="41">
        <f>G50+G31</f>
        <v>633897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23104212</v>
      </c>
      <c r="D56" s="95">
        <f>'DOE25'!G60</f>
        <v>0</v>
      </c>
      <c r="E56" s="95">
        <f>'DOE25'!H60</f>
        <v>0</v>
      </c>
      <c r="F56" s="95">
        <f>'DOE25'!I60</f>
        <v>0</v>
      </c>
      <c r="G56" s="95">
        <f>'DOE25'!J60</f>
        <v>0</v>
      </c>
      <c r="H56"/>
      <c r="I56"/>
    </row>
    <row r="57" spans="1:9" x14ac:dyDescent="0.2">
      <c r="A57" s="1" t="s">
        <v>164</v>
      </c>
      <c r="B57" s="6" t="s">
        <v>165</v>
      </c>
      <c r="C57" s="95">
        <f>'DOE25'!F79</f>
        <v>1032546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797</v>
      </c>
      <c r="D59" s="95">
        <f>'DOE25'!G96</f>
        <v>67</v>
      </c>
      <c r="E59" s="95">
        <f>'DOE25'!H96</f>
        <v>0</v>
      </c>
      <c r="F59" s="95">
        <f>'DOE25'!I96</f>
        <v>0</v>
      </c>
      <c r="G59" s="95">
        <f>'DOE25'!J96</f>
        <v>14209</v>
      </c>
      <c r="H59"/>
      <c r="I59"/>
    </row>
    <row r="60" spans="1:9" x14ac:dyDescent="0.2">
      <c r="A60" s="1" t="s">
        <v>170</v>
      </c>
      <c r="B60" s="118" t="s">
        <v>171</v>
      </c>
      <c r="C60" s="24" t="s">
        <v>288</v>
      </c>
      <c r="D60" s="95">
        <f>'DOE25'!G97</f>
        <v>639508</v>
      </c>
      <c r="E60" s="24" t="s">
        <v>288</v>
      </c>
      <c r="F60" s="24" t="s">
        <v>288</v>
      </c>
      <c r="G60" s="24" t="s">
        <v>288</v>
      </c>
      <c r="H60"/>
      <c r="I60"/>
    </row>
    <row r="61" spans="1:9" ht="12" thickBot="1" x14ac:dyDescent="0.25">
      <c r="A61" s="1" t="s">
        <v>172</v>
      </c>
      <c r="B61" s="118" t="s">
        <v>173</v>
      </c>
      <c r="C61" s="95">
        <f>SUM('DOE25'!F98:F110)</f>
        <v>351748</v>
      </c>
      <c r="D61" s="95">
        <f>SUM('DOE25'!G98:G110)</f>
        <v>14826</v>
      </c>
      <c r="E61" s="95">
        <f>SUM('DOE25'!H98:H110)</f>
        <v>0</v>
      </c>
      <c r="F61" s="95">
        <f>SUM('DOE25'!I98:I110)</f>
        <v>0</v>
      </c>
      <c r="G61" s="95">
        <f>SUM('DOE25'!J98:J110)</f>
        <v>21507</v>
      </c>
      <c r="H61"/>
      <c r="I61"/>
    </row>
    <row r="62" spans="1:9" ht="12.75" thickTop="1" thickBot="1" x14ac:dyDescent="0.25">
      <c r="A62" s="29" t="s">
        <v>174</v>
      </c>
      <c r="B62" s="6"/>
      <c r="C62" s="130">
        <f>SUM(C57:C61)</f>
        <v>1385091</v>
      </c>
      <c r="D62" s="130">
        <f>SUM(D57:D61)</f>
        <v>654401</v>
      </c>
      <c r="E62" s="130">
        <f>SUM(E57:E61)</f>
        <v>0</v>
      </c>
      <c r="F62" s="130">
        <f>SUM(F57:F61)</f>
        <v>0</v>
      </c>
      <c r="G62" s="130">
        <f>SUM(G57:G61)</f>
        <v>35716</v>
      </c>
      <c r="H62"/>
      <c r="I62"/>
    </row>
    <row r="63" spans="1:9" ht="12" thickTop="1" x14ac:dyDescent="0.2">
      <c r="A63" s="29" t="s">
        <v>175</v>
      </c>
      <c r="B63" s="6"/>
      <c r="C63" s="22">
        <f>C56+C62</f>
        <v>24489303</v>
      </c>
      <c r="D63" s="22">
        <f>D56+D62</f>
        <v>654401</v>
      </c>
      <c r="E63" s="22">
        <f>E56+E62</f>
        <v>0</v>
      </c>
      <c r="F63" s="22">
        <f>F56+F62</f>
        <v>0</v>
      </c>
      <c r="G63" s="22">
        <f>G56+G62</f>
        <v>35716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9822896</v>
      </c>
      <c r="D66" s="24" t="s">
        <v>288</v>
      </c>
      <c r="E66" s="24" t="s">
        <v>288</v>
      </c>
      <c r="F66" s="24" t="s">
        <v>288</v>
      </c>
      <c r="G66" s="24" t="s">
        <v>288</v>
      </c>
      <c r="H66"/>
      <c r="I66"/>
    </row>
    <row r="67" spans="1:9" x14ac:dyDescent="0.2">
      <c r="A67" s="1" t="s">
        <v>770</v>
      </c>
      <c r="B67" s="6">
        <v>3112</v>
      </c>
      <c r="C67" s="95">
        <f>'DOE25'!F118</f>
        <v>3191253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27375</v>
      </c>
      <c r="D69" s="95">
        <f>'DOE25'!G120</f>
        <v>0</v>
      </c>
      <c r="E69" s="95">
        <f>'DOE25'!H120</f>
        <v>0</v>
      </c>
      <c r="F69" s="95">
        <f>'DOE25'!I120</f>
        <v>0</v>
      </c>
      <c r="G69" s="95">
        <f>'DOE25'!J120</f>
        <v>0</v>
      </c>
      <c r="H69"/>
      <c r="I69"/>
    </row>
    <row r="70" spans="1:9" ht="12" thickTop="1" x14ac:dyDescent="0.2">
      <c r="A70" s="29" t="s">
        <v>252</v>
      </c>
      <c r="B70" s="2"/>
      <c r="C70" s="139">
        <f>SUM(C66:C69)</f>
        <v>13041524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194594</v>
      </c>
      <c r="D74" s="24"/>
      <c r="E74" s="24"/>
      <c r="F74" s="24"/>
      <c r="G74" s="24"/>
      <c r="H74"/>
      <c r="I74"/>
    </row>
    <row r="75" spans="1:9" x14ac:dyDescent="0.2">
      <c r="A75" s="1" t="s">
        <v>256</v>
      </c>
      <c r="B75" s="6">
        <v>3230</v>
      </c>
      <c r="C75" s="95">
        <f>'DOE25'!F126</f>
        <v>154462</v>
      </c>
      <c r="D75" s="24" t="s">
        <v>288</v>
      </c>
      <c r="E75" s="24" t="s">
        <v>288</v>
      </c>
      <c r="F75" s="24" t="s">
        <v>288</v>
      </c>
      <c r="G75" s="24" t="s">
        <v>288</v>
      </c>
      <c r="H75"/>
      <c r="I75"/>
    </row>
    <row r="76" spans="1:9" x14ac:dyDescent="0.2">
      <c r="A76" s="1" t="s">
        <v>257</v>
      </c>
      <c r="B76" s="6" t="s">
        <v>179</v>
      </c>
      <c r="C76" s="95">
        <f>SUM('DOE25'!F127:F130)</f>
        <v>23871</v>
      </c>
      <c r="D76" s="24" t="s">
        <v>288</v>
      </c>
      <c r="E76" s="95">
        <f>SUM('DOE25'!H127:H130)</f>
        <v>0</v>
      </c>
      <c r="F76" s="95">
        <f>SUM('DOE25'!I127:I130)</f>
        <v>0</v>
      </c>
      <c r="G76" s="24" t="s">
        <v>288</v>
      </c>
      <c r="H76"/>
      <c r="I76"/>
    </row>
    <row r="77" spans="1:9" ht="12" thickBot="1" x14ac:dyDescent="0.25">
      <c r="A77" s="1" t="s">
        <v>258</v>
      </c>
      <c r="B77" s="6" t="s">
        <v>180</v>
      </c>
      <c r="C77" s="95">
        <f>SUM('DOE25'!F131:F135)</f>
        <v>173270</v>
      </c>
      <c r="D77" s="95">
        <f>SUM('DOE25'!G131:G135)</f>
        <v>13931</v>
      </c>
      <c r="E77" s="95">
        <f>SUM('DOE25'!H131:H135)</f>
        <v>0</v>
      </c>
      <c r="F77" s="95">
        <f>SUM('DOE25'!I131:I135)</f>
        <v>0</v>
      </c>
      <c r="G77" s="95">
        <f>SUM('DOE25'!J131:J135)</f>
        <v>0</v>
      </c>
      <c r="H77"/>
      <c r="I77"/>
    </row>
    <row r="78" spans="1:9" ht="12.75" thickTop="1" thickBot="1" x14ac:dyDescent="0.25">
      <c r="A78" s="29" t="s">
        <v>259</v>
      </c>
      <c r="B78" s="6"/>
      <c r="C78" s="130">
        <f>SUM(C72:C77)</f>
        <v>546197</v>
      </c>
      <c r="D78" s="130">
        <f>SUM(D72:D77)</f>
        <v>13931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13587721</v>
      </c>
      <c r="D81" s="130">
        <f>SUM(D79:D80)+D78+D70</f>
        <v>13931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441669</v>
      </c>
      <c r="D88" s="95">
        <f>SUM('DOE25'!G153:G161)</f>
        <v>414587</v>
      </c>
      <c r="E88" s="95">
        <f>SUM('DOE25'!H153:H161)</f>
        <v>1254851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441669</v>
      </c>
      <c r="D91" s="131">
        <f>SUM(D85:D90)</f>
        <v>414587</v>
      </c>
      <c r="E91" s="131">
        <f>SUM(E85:E90)</f>
        <v>1254851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38518693</v>
      </c>
      <c r="D104" s="86">
        <f>D63+D81+D91+D103</f>
        <v>1082919</v>
      </c>
      <c r="E104" s="86">
        <f>E63+E81+E91+E103</f>
        <v>1254851</v>
      </c>
      <c r="F104" s="86">
        <f>F63+F81+F91+F103</f>
        <v>0</v>
      </c>
      <c r="G104" s="86">
        <f>G63+G81+G103</f>
        <v>35716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14338145</v>
      </c>
      <c r="D109" s="24" t="s">
        <v>288</v>
      </c>
      <c r="E109" s="95">
        <f>('DOE25'!L276)+('DOE25'!L295)+('DOE25'!L314)</f>
        <v>466902</v>
      </c>
      <c r="F109" s="24" t="s">
        <v>288</v>
      </c>
      <c r="G109" s="24" t="s">
        <v>288</v>
      </c>
    </row>
    <row r="110" spans="1:7" x14ac:dyDescent="0.2">
      <c r="A110" t="s">
        <v>198</v>
      </c>
      <c r="B110" s="32" t="s">
        <v>199</v>
      </c>
      <c r="C110" s="95">
        <f>('DOE25'!L198)+('DOE25'!L216)+('DOE25'!L234)</f>
        <v>8182384</v>
      </c>
      <c r="D110" s="24" t="s">
        <v>288</v>
      </c>
      <c r="E110" s="95">
        <f>('DOE25'!L277)+('DOE25'!L296)+('DOE25'!L315)</f>
        <v>419509</v>
      </c>
      <c r="F110" s="24" t="s">
        <v>288</v>
      </c>
      <c r="G110" s="24" t="s">
        <v>288</v>
      </c>
    </row>
    <row r="111" spans="1:7" x14ac:dyDescent="0.2">
      <c r="A111" t="s">
        <v>200</v>
      </c>
      <c r="B111" s="32" t="s">
        <v>165</v>
      </c>
      <c r="C111" s="95">
        <f>('DOE25'!L199)+('DOE25'!L217)+('DOE25'!L235)</f>
        <v>301815</v>
      </c>
      <c r="D111" s="24" t="s">
        <v>288</v>
      </c>
      <c r="E111" s="95">
        <f>('DOE25'!L278)+('DOE25'!L297)+('DOE25'!L316)</f>
        <v>0</v>
      </c>
      <c r="F111" s="24" t="s">
        <v>288</v>
      </c>
      <c r="G111" s="24" t="s">
        <v>288</v>
      </c>
    </row>
    <row r="112" spans="1:7" x14ac:dyDescent="0.2">
      <c r="A112" t="s">
        <v>201</v>
      </c>
      <c r="B112" s="32" t="s">
        <v>167</v>
      </c>
      <c r="C112" s="95">
        <f>('DOE25'!L200)+('DOE25'!L218)+('DOE25'!L236)</f>
        <v>659243</v>
      </c>
      <c r="D112" s="24" t="s">
        <v>288</v>
      </c>
      <c r="E112" s="95">
        <f>+('DOE25'!L279)+('DOE25'!L298)+('DOE25'!L317)</f>
        <v>20612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16</v>
      </c>
      <c r="D114" s="24" t="s">
        <v>288</v>
      </c>
      <c r="E114" s="95">
        <f>+ SUM('DOE25'!L333:L335)</f>
        <v>6740</v>
      </c>
      <c r="F114" s="24" t="s">
        <v>288</v>
      </c>
      <c r="G114" s="24" t="s">
        <v>288</v>
      </c>
    </row>
    <row r="115" spans="1:7" ht="12.75" thickTop="1" thickBot="1" x14ac:dyDescent="0.25">
      <c r="A115" s="33" t="s">
        <v>205</v>
      </c>
      <c r="C115" s="86">
        <f>SUM(C109:C114)</f>
        <v>23481603</v>
      </c>
      <c r="D115" s="86">
        <f>SUM(D109:D114)</f>
        <v>0</v>
      </c>
      <c r="E115" s="86">
        <f>SUM(E109:E114)</f>
        <v>913763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4536565</v>
      </c>
      <c r="D118" s="24" t="s">
        <v>288</v>
      </c>
      <c r="E118" s="95">
        <f>+('DOE25'!L281)+('DOE25'!L300)+('DOE25'!L319)</f>
        <v>178901</v>
      </c>
      <c r="F118" s="24" t="s">
        <v>288</v>
      </c>
      <c r="G118" s="24" t="s">
        <v>288</v>
      </c>
    </row>
    <row r="119" spans="1:7" x14ac:dyDescent="0.2">
      <c r="A119" t="s">
        <v>208</v>
      </c>
      <c r="B119" s="32" t="s">
        <v>209</v>
      </c>
      <c r="C119" s="95">
        <f>('DOE25'!L203)+('DOE25'!L221)+('DOE25'!L239)</f>
        <v>1348933</v>
      </c>
      <c r="D119" s="24" t="s">
        <v>288</v>
      </c>
      <c r="E119" s="95">
        <f>+('DOE25'!L282)+('DOE25'!L301)+('DOE25'!L320)</f>
        <v>118290</v>
      </c>
      <c r="F119" s="24" t="s">
        <v>288</v>
      </c>
      <c r="G119" s="24" t="s">
        <v>288</v>
      </c>
    </row>
    <row r="120" spans="1:7" x14ac:dyDescent="0.2">
      <c r="A120" t="s">
        <v>210</v>
      </c>
      <c r="B120" s="32" t="s">
        <v>211</v>
      </c>
      <c r="C120" s="95">
        <f>('DOE25'!L204)+('DOE25'!L222)+('DOE25'!L240)</f>
        <v>1013310</v>
      </c>
      <c r="D120" s="24" t="s">
        <v>288</v>
      </c>
      <c r="E120" s="95">
        <f>+('DOE25'!L283)+('DOE25'!L302)+('DOE25'!L321)</f>
        <v>0</v>
      </c>
      <c r="F120" s="24" t="s">
        <v>288</v>
      </c>
      <c r="G120" s="24" t="s">
        <v>288</v>
      </c>
    </row>
    <row r="121" spans="1:7" x14ac:dyDescent="0.2">
      <c r="A121" t="s">
        <v>212</v>
      </c>
      <c r="B121" s="32" t="s">
        <v>213</v>
      </c>
      <c r="C121" s="95">
        <f>('DOE25'!L205)+('DOE25'!L223)+('DOE25'!L241)</f>
        <v>2093148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7026</v>
      </c>
      <c r="F122" s="24" t="s">
        <v>288</v>
      </c>
      <c r="G122" s="24" t="s">
        <v>288</v>
      </c>
    </row>
    <row r="123" spans="1:7" x14ac:dyDescent="0.2">
      <c r="A123" t="s">
        <v>216</v>
      </c>
      <c r="B123" s="32" t="s">
        <v>217</v>
      </c>
      <c r="C123" s="95">
        <f>('DOE25'!L207)+('DOE25'!L225)+('DOE25'!L243)</f>
        <v>3815525</v>
      </c>
      <c r="D123" s="24" t="s">
        <v>288</v>
      </c>
      <c r="E123" s="95">
        <f>+('DOE25'!L286)+('DOE25'!L305)+('DOE25'!L324)</f>
        <v>0</v>
      </c>
      <c r="F123" s="24" t="s">
        <v>288</v>
      </c>
      <c r="G123" s="24" t="s">
        <v>288</v>
      </c>
    </row>
    <row r="124" spans="1:7" x14ac:dyDescent="0.2">
      <c r="A124" t="s">
        <v>218</v>
      </c>
      <c r="B124" s="32" t="s">
        <v>219</v>
      </c>
      <c r="C124" s="95">
        <f>('DOE25'!L208)+('DOE25'!L226)+('DOE25'!L244+'DOE25'!L254)</f>
        <v>2253311</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2618</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1165468</v>
      </c>
      <c r="E127" s="24" t="s">
        <v>288</v>
      </c>
      <c r="F127" s="24" t="s">
        <v>288</v>
      </c>
      <c r="G127" s="24" t="s">
        <v>288</v>
      </c>
    </row>
    <row r="128" spans="1:7" ht="12.75" thickTop="1" thickBot="1" x14ac:dyDescent="0.25">
      <c r="A128" s="33" t="s">
        <v>226</v>
      </c>
      <c r="C128" s="86">
        <f>SUM(C118:C127)</f>
        <v>15060792</v>
      </c>
      <c r="D128" s="86">
        <f>SUM(D118:D127)</f>
        <v>1165468</v>
      </c>
      <c r="E128" s="86">
        <f>SUM(E118:E127)</f>
        <v>306835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528551</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35716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-35716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528551</v>
      </c>
      <c r="D144" s="141">
        <f>SUM(D130:D143)</f>
        <v>0</v>
      </c>
      <c r="E144" s="141">
        <f>SUM(E130:E143)</f>
        <v>0</v>
      </c>
      <c r="F144" s="141">
        <f>SUM(F130:F143)</f>
        <v>0</v>
      </c>
      <c r="G144" s="141">
        <f>SUM(G130:G143)</f>
        <v>0</v>
      </c>
    </row>
    <row r="145" spans="1:9" ht="12.75" thickTop="1" thickBot="1" x14ac:dyDescent="0.25">
      <c r="A145" s="33" t="s">
        <v>244</v>
      </c>
      <c r="C145" s="86">
        <f>(C115+C128+C144)</f>
        <v>39070946</v>
      </c>
      <c r="D145" s="86">
        <f>(D115+D128+D144)</f>
        <v>1165468</v>
      </c>
      <c r="E145" s="86">
        <f>(E115+E128+E144)</f>
        <v>1220598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Merrimack Valley School District</v>
      </c>
    </row>
    <row r="3" spans="1:4" x14ac:dyDescent="0.2">
      <c r="B3" s="188" t="s">
        <v>1602</v>
      </c>
    </row>
    <row r="4" spans="1:4" x14ac:dyDescent="0.2">
      <c r="B4" t="s">
        <v>61</v>
      </c>
      <c r="C4" s="179">
        <f>IF('DOE25'!F665+'DOE25'!F670=0,0,ROUND('DOE25'!F672,0))</f>
        <v>16350</v>
      </c>
    </row>
    <row r="5" spans="1:4" x14ac:dyDescent="0.2">
      <c r="B5" t="s">
        <v>700</v>
      </c>
      <c r="C5" s="179">
        <f>IF('DOE25'!G665+'DOE25'!G670=0,0,ROUND('DOE25'!G672,0))</f>
        <v>15094</v>
      </c>
    </row>
    <row r="6" spans="1:4" x14ac:dyDescent="0.2">
      <c r="B6" t="s">
        <v>62</v>
      </c>
      <c r="C6" s="179">
        <f>IF('DOE25'!H665+'DOE25'!H670=0,0,ROUND('DOE25'!H672,0))</f>
        <v>14673</v>
      </c>
    </row>
    <row r="7" spans="1:4" x14ac:dyDescent="0.2">
      <c r="B7" t="s">
        <v>701</v>
      </c>
      <c r="C7" s="179">
        <f>IF('DOE25'!I665+'DOE25'!I670=0,0,ROUND('DOE25'!I672,0))</f>
        <v>15504</v>
      </c>
    </row>
    <row r="9" spans="1:4" x14ac:dyDescent="0.2">
      <c r="A9" s="187" t="s">
        <v>94</v>
      </c>
      <c r="B9" s="188" t="s">
        <v>1603</v>
      </c>
      <c r="C9" s="181" t="s">
        <v>720</v>
      </c>
      <c r="D9" s="181" t="s">
        <v>721</v>
      </c>
    </row>
    <row r="10" spans="1:4" x14ac:dyDescent="0.2">
      <c r="A10">
        <v>1100</v>
      </c>
      <c r="B10" t="s">
        <v>702</v>
      </c>
      <c r="C10" s="179">
        <f>ROUND('DOE25'!L197+'DOE25'!L215+'DOE25'!L233+'DOE25'!L276+'DOE25'!L295+'DOE25'!L314,0)</f>
        <v>14805047</v>
      </c>
      <c r="D10" s="182">
        <f>ROUND((C10/$C$28)*100,1)</f>
        <v>36.799999999999997</v>
      </c>
    </row>
    <row r="11" spans="1:4" x14ac:dyDescent="0.2">
      <c r="A11">
        <v>1200</v>
      </c>
      <c r="B11" t="s">
        <v>703</v>
      </c>
      <c r="C11" s="179">
        <f>ROUND('DOE25'!L198+'DOE25'!L216+'DOE25'!L234+'DOE25'!L277+'DOE25'!L296+'DOE25'!L315,0)</f>
        <v>8601893</v>
      </c>
      <c r="D11" s="182">
        <f>ROUND((C11/$C$28)*100,1)</f>
        <v>21.4</v>
      </c>
    </row>
    <row r="12" spans="1:4" x14ac:dyDescent="0.2">
      <c r="A12">
        <v>1300</v>
      </c>
      <c r="B12" t="s">
        <v>704</v>
      </c>
      <c r="C12" s="179">
        <f>ROUND('DOE25'!L199+'DOE25'!L217+'DOE25'!L235+'DOE25'!L278+'DOE25'!L297+'DOE25'!L316,0)</f>
        <v>301815</v>
      </c>
      <c r="D12" s="182">
        <f>ROUND((C12/$C$28)*100,1)</f>
        <v>0.7</v>
      </c>
    </row>
    <row r="13" spans="1:4" x14ac:dyDescent="0.2">
      <c r="A13">
        <v>1400</v>
      </c>
      <c r="B13" t="s">
        <v>705</v>
      </c>
      <c r="C13" s="179">
        <f>ROUND('DOE25'!L200+'DOE25'!L218+'DOE25'!L236+'DOE25'!L279+'DOE25'!L298+'DOE25'!L317,0)</f>
        <v>679855</v>
      </c>
      <c r="D13" s="182">
        <f>ROUND((C13/$C$28)*100,1)</f>
        <v>1.7</v>
      </c>
    </row>
    <row r="14" spans="1:4" x14ac:dyDescent="0.2">
      <c r="D14" s="182"/>
    </row>
    <row r="15" spans="1:4" x14ac:dyDescent="0.2">
      <c r="A15">
        <v>2100</v>
      </c>
      <c r="B15" t="s">
        <v>706</v>
      </c>
      <c r="C15" s="179">
        <f>ROUND('DOE25'!L202+'DOE25'!L220+'DOE25'!L238+'DOE25'!L281+'DOE25'!L300+'DOE25'!L319,0)</f>
        <v>4715466</v>
      </c>
      <c r="D15" s="182">
        <f t="shared" ref="D15:D27" si="0">ROUND((C15/$C$28)*100,1)</f>
        <v>11.7</v>
      </c>
    </row>
    <row r="16" spans="1:4" x14ac:dyDescent="0.2">
      <c r="A16">
        <v>2200</v>
      </c>
      <c r="B16" t="s">
        <v>707</v>
      </c>
      <c r="C16" s="179">
        <f>ROUND('DOE25'!L203+'DOE25'!L221+'DOE25'!L239+'DOE25'!L282+'DOE25'!L301+'DOE25'!L320,0)</f>
        <v>1467223</v>
      </c>
      <c r="D16" s="182">
        <f t="shared" si="0"/>
        <v>3.6</v>
      </c>
    </row>
    <row r="17" spans="1:4" x14ac:dyDescent="0.2">
      <c r="A17" s="183" t="s">
        <v>723</v>
      </c>
      <c r="B17" t="s">
        <v>738</v>
      </c>
      <c r="C17" s="179">
        <f>ROUND('DOE25'!L204+'DOE25'!L209+'DOE25'!L222+'DOE25'!L227+'DOE25'!L240+'DOE25'!L245+'DOE25'!L283+'DOE25'!L288+'DOE25'!L302+'DOE25'!L307+'DOE25'!L321+'DOE25'!L326,0)</f>
        <v>1015928</v>
      </c>
      <c r="D17" s="182">
        <f t="shared" si="0"/>
        <v>2.5</v>
      </c>
    </row>
    <row r="18" spans="1:4" x14ac:dyDescent="0.2">
      <c r="A18">
        <v>2400</v>
      </c>
      <c r="B18" t="s">
        <v>711</v>
      </c>
      <c r="C18" s="179">
        <f>ROUND('DOE25'!L205+'DOE25'!L223+'DOE25'!L241+'DOE25'!L284+'DOE25'!L303+'DOE25'!L322,0)</f>
        <v>2093148</v>
      </c>
      <c r="D18" s="182">
        <f t="shared" si="0"/>
        <v>5.2</v>
      </c>
    </row>
    <row r="19" spans="1:4" x14ac:dyDescent="0.2">
      <c r="A19">
        <v>2500</v>
      </c>
      <c r="B19" t="s">
        <v>708</v>
      </c>
      <c r="C19" s="179">
        <f>ROUND('DOE25'!L206+'DOE25'!L224+'DOE25'!L242+'DOE25'!L285+'DOE25'!L304+'DOE25'!L323,0)</f>
        <v>7026</v>
      </c>
      <c r="D19" s="182">
        <f t="shared" si="0"/>
        <v>0</v>
      </c>
    </row>
    <row r="20" spans="1:4" x14ac:dyDescent="0.2">
      <c r="A20">
        <v>2600</v>
      </c>
      <c r="B20" t="s">
        <v>709</v>
      </c>
      <c r="C20" s="179">
        <f>ROUND('DOE25'!L207+'DOE25'!L225+'DOE25'!L243+'DOE25'!L286+'DOE25'!L305+'DOE25'!L324,0)</f>
        <v>3815525</v>
      </c>
      <c r="D20" s="182">
        <f t="shared" si="0"/>
        <v>9.5</v>
      </c>
    </row>
    <row r="21" spans="1:4" x14ac:dyDescent="0.2">
      <c r="A21">
        <v>2700</v>
      </c>
      <c r="B21" t="s">
        <v>710</v>
      </c>
      <c r="C21" s="179">
        <f>ROUND('DOE25'!L208+'DOE25'!L226+'DOE25'!L244+'DOE25'!L287+'DOE25'!L306+'DOE25'!L325,0)</f>
        <v>2253311</v>
      </c>
      <c r="D21" s="182">
        <f t="shared" si="0"/>
        <v>5.6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6756</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511134</v>
      </c>
      <c r="D27" s="182">
        <f t="shared" si="0"/>
        <v>1.3</v>
      </c>
    </row>
    <row r="28" spans="1:4" x14ac:dyDescent="0.2">
      <c r="B28" s="187" t="s">
        <v>719</v>
      </c>
      <c r="C28" s="180">
        <f>SUM(C10:C27)</f>
        <v>40274127</v>
      </c>
      <c r="D28" s="184">
        <f>ROUND(SUM(D10:D27),0)</f>
        <v>100</v>
      </c>
    </row>
    <row r="29" spans="1:4" x14ac:dyDescent="0.2">
      <c r="A29">
        <v>4000</v>
      </c>
      <c r="B29" t="s">
        <v>724</v>
      </c>
      <c r="C29" s="179">
        <f>ROUND('DOE25'!L255+'DOE25'!L336+'DOE25'!L374+'DOE25'!L375+'DOE25'!L376+'DOE25'!L377+'DOE25'!L378+'DOE25'!L379+'DOE25'!L380,0)</f>
        <v>528551</v>
      </c>
    </row>
    <row r="30" spans="1:4" x14ac:dyDescent="0.2">
      <c r="B30" s="187" t="s">
        <v>725</v>
      </c>
      <c r="C30" s="180">
        <f>SUM(C28:C29)</f>
        <v>40802678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23104212</v>
      </c>
      <c r="D35" s="182">
        <f t="shared" ref="D35:D40" si="1">ROUND((C35/$C$41)*100,1)</f>
        <v>57.4</v>
      </c>
    </row>
    <row r="36" spans="1:4" x14ac:dyDescent="0.2">
      <c r="B36" s="185" t="s">
        <v>739</v>
      </c>
      <c r="C36" s="179">
        <f>SUM('DOE25'!F112:J112)-SUM('DOE25'!G97:G110)+('DOE25'!F174+'DOE25'!F175+'DOE25'!I174+'DOE25'!I175)-C35</f>
        <v>1420874</v>
      </c>
      <c r="D36" s="182">
        <f t="shared" si="1"/>
        <v>3.5</v>
      </c>
    </row>
    <row r="37" spans="1:4" x14ac:dyDescent="0.2">
      <c r="A37" s="183" t="s">
        <v>835</v>
      </c>
      <c r="B37" s="185" t="s">
        <v>728</v>
      </c>
      <c r="C37" s="179">
        <f>ROUND('DOE25'!F117+'DOE25'!F118,0)</f>
        <v>13014149</v>
      </c>
      <c r="D37" s="182">
        <f t="shared" si="1"/>
        <v>32.299999999999997</v>
      </c>
    </row>
    <row r="38" spans="1:4" x14ac:dyDescent="0.2">
      <c r="A38" s="183" t="s">
        <v>734</v>
      </c>
      <c r="B38" s="185" t="s">
        <v>729</v>
      </c>
      <c r="C38" s="179">
        <f>ROUND(SUM('DOE25'!F140:J140)-SUM('DOE25'!F117:F119),0)</f>
        <v>587503</v>
      </c>
      <c r="D38" s="182">
        <f t="shared" si="1"/>
        <v>1.5</v>
      </c>
    </row>
    <row r="39" spans="1:4" x14ac:dyDescent="0.2">
      <c r="A39">
        <v>4000</v>
      </c>
      <c r="B39" s="185" t="s">
        <v>730</v>
      </c>
      <c r="C39" s="179">
        <f>ROUND('DOE25'!F169+'DOE25'!G169+'DOE25'!H169+'DOE25'!I169,0)</f>
        <v>2111107</v>
      </c>
      <c r="D39" s="182">
        <f t="shared" si="1"/>
        <v>5.2</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40237845</v>
      </c>
      <c r="D41" s="184">
        <f>SUM(D35:D40)</f>
        <v>99.899999999999991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Merrimack Valley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2019-10-17T15:48:10Z</cp:lastPrinted>
  <dcterms:created xsi:type="dcterms:W3CDTF">1997-12-04T19:04:30Z</dcterms:created>
  <dcterms:modified xsi:type="dcterms:W3CDTF">2019-11-22T16:01:18Z</dcterms:modified>
</cp:coreProperties>
</file>