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507" i="1" l="1"/>
  <c r="F498"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C119" i="2" s="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L269" i="1"/>
  <c r="L349" i="1"/>
  <c r="L350" i="1"/>
  <c r="E143" i="2" s="1"/>
  <c r="I665" i="1"/>
  <c r="I670" i="1"/>
  <c r="G662" i="1"/>
  <c r="H662"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G552"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F18" i="2" s="1"/>
  <c r="I439" i="1"/>
  <c r="J9" i="1" s="1"/>
  <c r="G8" i="2" s="1"/>
  <c r="C9" i="2"/>
  <c r="D9" i="2"/>
  <c r="E9" i="2"/>
  <c r="F9" i="2"/>
  <c r="I440" i="1"/>
  <c r="J10" i="1" s="1"/>
  <c r="G9" i="2" s="1"/>
  <c r="C10" i="2"/>
  <c r="C11" i="2"/>
  <c r="C18" i="2" s="1"/>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3" i="2"/>
  <c r="D115" i="2"/>
  <c r="F115" i="2"/>
  <c r="G115" i="2"/>
  <c r="E119" i="2"/>
  <c r="E120" i="2"/>
  <c r="E121" i="2"/>
  <c r="E123" i="2"/>
  <c r="E124" i="2"/>
  <c r="C125" i="2"/>
  <c r="E125" i="2"/>
  <c r="F128" i="2"/>
  <c r="G128" i="2"/>
  <c r="D134" i="2"/>
  <c r="D144" i="2" s="1"/>
  <c r="E134" i="2"/>
  <c r="F134" i="2"/>
  <c r="K419" i="1"/>
  <c r="K427" i="1"/>
  <c r="K433" i="1"/>
  <c r="L263" i="1"/>
  <c r="C135" i="2" s="1"/>
  <c r="E135" i="2"/>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I408" i="1" s="1"/>
  <c r="F407" i="1"/>
  <c r="G407" i="1"/>
  <c r="H407" i="1"/>
  <c r="I407" i="1"/>
  <c r="F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J641" i="1" s="1"/>
  <c r="F460" i="1"/>
  <c r="G460" i="1"/>
  <c r="G461" i="1" s="1"/>
  <c r="H640" i="1" s="1"/>
  <c r="H460" i="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G545" i="1" s="1"/>
  <c r="H529" i="1"/>
  <c r="I529" i="1"/>
  <c r="J529" i="1"/>
  <c r="K529" i="1"/>
  <c r="F534" i="1"/>
  <c r="G534" i="1"/>
  <c r="H534" i="1"/>
  <c r="I534" i="1"/>
  <c r="J534" i="1"/>
  <c r="K534" i="1"/>
  <c r="F539" i="1"/>
  <c r="G539" i="1"/>
  <c r="H539" i="1"/>
  <c r="I539" i="1"/>
  <c r="J539" i="1"/>
  <c r="J545" i="1" s="1"/>
  <c r="K539" i="1"/>
  <c r="F544" i="1"/>
  <c r="G544" i="1"/>
  <c r="H544" i="1"/>
  <c r="I544" i="1"/>
  <c r="J544" i="1"/>
  <c r="K544" i="1"/>
  <c r="L557" i="1"/>
  <c r="L558" i="1"/>
  <c r="L559" i="1"/>
  <c r="F560" i="1"/>
  <c r="G560" i="1"/>
  <c r="H560" i="1"/>
  <c r="I560" i="1"/>
  <c r="J560" i="1"/>
  <c r="K560" i="1"/>
  <c r="L562" i="1"/>
  <c r="L563" i="1"/>
  <c r="L564" i="1"/>
  <c r="F565" i="1"/>
  <c r="F571" i="1" s="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19" i="1"/>
  <c r="G620" i="1"/>
  <c r="G622" i="1"/>
  <c r="G623" i="1"/>
  <c r="G625" i="1"/>
  <c r="H627" i="1"/>
  <c r="H628" i="1"/>
  <c r="H629" i="1"/>
  <c r="H630" i="1"/>
  <c r="H631" i="1"/>
  <c r="H632" i="1"/>
  <c r="H633" i="1"/>
  <c r="H634" i="1"/>
  <c r="H635" i="1"/>
  <c r="H636" i="1"/>
  <c r="H637" i="1"/>
  <c r="H638" i="1"/>
  <c r="G641" i="1"/>
  <c r="G643" i="1"/>
  <c r="J643" i="1" s="1"/>
  <c r="H643" i="1"/>
  <c r="G644" i="1"/>
  <c r="H647" i="1"/>
  <c r="G650" i="1"/>
  <c r="G651" i="1"/>
  <c r="G652" i="1"/>
  <c r="H652" i="1"/>
  <c r="G653" i="1"/>
  <c r="H653" i="1"/>
  <c r="G654" i="1"/>
  <c r="H654" i="1"/>
  <c r="H655" i="1"/>
  <c r="D18" i="2"/>
  <c r="D31" i="2"/>
  <c r="D50" i="2"/>
  <c r="I169" i="1"/>
  <c r="G476" i="1"/>
  <c r="H623" i="1" s="1"/>
  <c r="J140" i="1"/>
  <c r="G22" i="2"/>
  <c r="H140" i="1"/>
  <c r="L560" i="1"/>
  <c r="F338" i="1"/>
  <c r="F352" i="1" s="1"/>
  <c r="H192" i="1"/>
  <c r="J655" i="1"/>
  <c r="I545" i="1"/>
  <c r="L328" i="1" l="1"/>
  <c r="L309" i="1"/>
  <c r="E122" i="2"/>
  <c r="E118" i="2"/>
  <c r="G645" i="1"/>
  <c r="J624" i="1"/>
  <c r="F461" i="1"/>
  <c r="H639" i="1" s="1"/>
  <c r="H408" i="1"/>
  <c r="H644" i="1" s="1"/>
  <c r="D91" i="2"/>
  <c r="E78" i="2"/>
  <c r="H552" i="1"/>
  <c r="C13" i="10"/>
  <c r="C114" i="2"/>
  <c r="K571" i="1"/>
  <c r="L570" i="1"/>
  <c r="H571" i="1"/>
  <c r="L565" i="1"/>
  <c r="I571" i="1"/>
  <c r="G408" i="1"/>
  <c r="H645" i="1" s="1"/>
  <c r="G338" i="1"/>
  <c r="G352" i="1" s="1"/>
  <c r="G192" i="1"/>
  <c r="F192" i="1"/>
  <c r="C91" i="2"/>
  <c r="D81" i="2"/>
  <c r="J552" i="1"/>
  <c r="I552" i="1"/>
  <c r="F552" i="1"/>
  <c r="G62" i="2"/>
  <c r="J651" i="1"/>
  <c r="L529" i="1"/>
  <c r="H545" i="1"/>
  <c r="L433" i="1"/>
  <c r="G81" i="2"/>
  <c r="C78" i="2"/>
  <c r="L270" i="1"/>
  <c r="C26" i="10"/>
  <c r="C18" i="10"/>
  <c r="L614" i="1"/>
  <c r="F661" i="1"/>
  <c r="J623" i="1"/>
  <c r="L362" i="1"/>
  <c r="C27" i="10" s="1"/>
  <c r="G661" i="1"/>
  <c r="J634" i="1"/>
  <c r="K598" i="1"/>
  <c r="G647" i="1" s="1"/>
  <c r="K545" i="1"/>
  <c r="K549" i="1"/>
  <c r="G164" i="2"/>
  <c r="G156" i="2"/>
  <c r="J476" i="1"/>
  <c r="H626" i="1" s="1"/>
  <c r="J640" i="1"/>
  <c r="L427" i="1"/>
  <c r="J645" i="1"/>
  <c r="L401" i="1"/>
  <c r="C139" i="2" s="1"/>
  <c r="L393" i="1"/>
  <c r="C138" i="2" s="1"/>
  <c r="J644" i="1"/>
  <c r="I476" i="1"/>
  <c r="H625" i="1" s="1"/>
  <c r="J625" i="1" s="1"/>
  <c r="F476" i="1"/>
  <c r="H622" i="1" s="1"/>
  <c r="J622" i="1" s="1"/>
  <c r="F130" i="2"/>
  <c r="F144" i="2" s="1"/>
  <c r="F145" i="2" s="1"/>
  <c r="L351" i="1"/>
  <c r="L290" i="1"/>
  <c r="E112" i="2"/>
  <c r="C131" i="2"/>
  <c r="I257" i="1"/>
  <c r="I271" i="1" s="1"/>
  <c r="J257" i="1"/>
  <c r="F257" i="1"/>
  <c r="F271" i="1" s="1"/>
  <c r="D6" i="13"/>
  <c r="C6" i="13" s="1"/>
  <c r="L247" i="1"/>
  <c r="G36" i="14" s="1"/>
  <c r="H36" i="14" s="1"/>
  <c r="I36" i="14" s="1"/>
  <c r="H257" i="1"/>
  <c r="H271" i="1" s="1"/>
  <c r="K257" i="1"/>
  <c r="K271" i="1" s="1"/>
  <c r="J647" i="1"/>
  <c r="L211" i="1"/>
  <c r="F78" i="2"/>
  <c r="F81" i="2" s="1"/>
  <c r="E57" i="2"/>
  <c r="E62" i="2" s="1"/>
  <c r="E63" i="2" s="1"/>
  <c r="D62" i="2"/>
  <c r="D63" i="2" s="1"/>
  <c r="C70" i="2"/>
  <c r="C81" i="2" s="1"/>
  <c r="F112" i="1"/>
  <c r="E31" i="2"/>
  <c r="H52" i="1"/>
  <c r="H619" i="1" s="1"/>
  <c r="J617" i="1"/>
  <c r="J639" i="1"/>
  <c r="K551" i="1"/>
  <c r="I25" i="13"/>
  <c r="K550" i="1"/>
  <c r="J271" i="1"/>
  <c r="L534" i="1"/>
  <c r="K500" i="1"/>
  <c r="I460" i="1"/>
  <c r="I452" i="1"/>
  <c r="I446" i="1"/>
  <c r="G642" i="1" s="1"/>
  <c r="H338" i="1"/>
  <c r="H352" i="1" s="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D5" i="13"/>
  <c r="C5" i="13" s="1"/>
  <c r="E8" i="13"/>
  <c r="C8" i="13" s="1"/>
  <c r="E128" i="2"/>
  <c r="C12" i="13"/>
  <c r="C35" i="10"/>
  <c r="C29" i="10"/>
  <c r="E81" i="2"/>
  <c r="G649" i="1"/>
  <c r="J649" i="1" s="1"/>
  <c r="L544" i="1"/>
  <c r="L524" i="1"/>
  <c r="L545" i="1" s="1"/>
  <c r="J338" i="1"/>
  <c r="J352" i="1" s="1"/>
  <c r="D127" i="2"/>
  <c r="D128" i="2" s="1"/>
  <c r="D145" i="2" s="1"/>
  <c r="C124" i="2"/>
  <c r="C122" i="2"/>
  <c r="C118" i="2"/>
  <c r="C19" i="10"/>
  <c r="C16" i="10"/>
  <c r="D17" i="13"/>
  <c r="C17" i="13" s="1"/>
  <c r="D7" i="13"/>
  <c r="C7" i="13" s="1"/>
  <c r="E16" i="13"/>
  <c r="H660" i="1"/>
  <c r="C10" i="10"/>
  <c r="C109" i="2"/>
  <c r="C115" i="2" s="1"/>
  <c r="L229" i="1"/>
  <c r="G24" i="14" s="1"/>
  <c r="G4" i="14"/>
  <c r="H4" i="14" s="1"/>
  <c r="I4" i="14" s="1"/>
  <c r="F660" i="1"/>
  <c r="F664" i="1" s="1"/>
  <c r="C16" i="13"/>
  <c r="L337" i="1"/>
  <c r="F62" i="2"/>
  <c r="F63" i="2" s="1"/>
  <c r="F104" i="2" s="1"/>
  <c r="C23" i="10"/>
  <c r="G163" i="2"/>
  <c r="G162" i="2"/>
  <c r="G160" i="2"/>
  <c r="G159" i="2"/>
  <c r="G158" i="2"/>
  <c r="G103" i="2"/>
  <c r="F103" i="2"/>
  <c r="C103" i="2"/>
  <c r="F91" i="2"/>
  <c r="E50" i="2"/>
  <c r="E51" i="2" s="1"/>
  <c r="C50" i="2"/>
  <c r="F31" i="2"/>
  <c r="C31" i="2"/>
  <c r="E18" i="2"/>
  <c r="E144" i="2"/>
  <c r="F50" i="2"/>
  <c r="L338" i="1"/>
  <c r="L352" i="1" s="1"/>
  <c r="G633" i="1" s="1"/>
  <c r="J633" i="1" s="1"/>
  <c r="C24" i="10"/>
  <c r="H31" i="13"/>
  <c r="H33" i="13" s="1"/>
  <c r="I338" i="1"/>
  <c r="I352" i="1" s="1"/>
  <c r="J650" i="1"/>
  <c r="L407" i="1"/>
  <c r="C140" i="2" s="1"/>
  <c r="L571" i="1"/>
  <c r="I192" i="1"/>
  <c r="E91" i="2"/>
  <c r="D51" i="2"/>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G104" i="2" s="1"/>
  <c r="J618" i="1"/>
  <c r="G42" i="2"/>
  <c r="G50" i="2" s="1"/>
  <c r="G51" i="2" s="1"/>
  <c r="J51" i="1"/>
  <c r="G16" i="2"/>
  <c r="G18" i="2" s="1"/>
  <c r="J19" i="1"/>
  <c r="G621" i="1" s="1"/>
  <c r="F545" i="1"/>
  <c r="H434" i="1"/>
  <c r="J620" i="1"/>
  <c r="J619" i="1"/>
  <c r="D103" i="2"/>
  <c r="D104" i="2" s="1"/>
  <c r="I140" i="1"/>
  <c r="A22" i="12"/>
  <c r="J652" i="1"/>
  <c r="G571" i="1"/>
  <c r="I434" i="1"/>
  <c r="G434" i="1"/>
  <c r="E104" i="2"/>
  <c r="I663" i="1"/>
  <c r="G635" i="1"/>
  <c r="J635" i="1" s="1"/>
  <c r="E115" i="2" l="1"/>
  <c r="E145" i="2" s="1"/>
  <c r="C36" i="10"/>
  <c r="I193" i="1"/>
  <c r="G630" i="1" s="1"/>
  <c r="J630" i="1" s="1"/>
  <c r="I661" i="1"/>
  <c r="H664" i="1"/>
  <c r="H667" i="1" s="1"/>
  <c r="L408" i="1"/>
  <c r="G637" i="1" s="1"/>
  <c r="J637" i="1" s="1"/>
  <c r="C141" i="2"/>
  <c r="C144" i="2" s="1"/>
  <c r="H646" i="1"/>
  <c r="H648" i="1"/>
  <c r="J648" i="1" s="1"/>
  <c r="G33" i="13"/>
  <c r="C128" i="2"/>
  <c r="L257" i="1"/>
  <c r="L271" i="1" s="1"/>
  <c r="G632" i="1" s="1"/>
  <c r="J632" i="1" s="1"/>
  <c r="E33" i="13"/>
  <c r="D35" i="13" s="1"/>
  <c r="F193" i="1"/>
  <c r="G627" i="1" s="1"/>
  <c r="J627" i="1" s="1"/>
  <c r="C63" i="2"/>
  <c r="C104" i="2" s="1"/>
  <c r="F51" i="2"/>
  <c r="D31" i="13"/>
  <c r="C31" i="13" s="1"/>
  <c r="I461" i="1"/>
  <c r="H642" i="1" s="1"/>
  <c r="J642" i="1" s="1"/>
  <c r="G660" i="1"/>
  <c r="G664" i="1" s="1"/>
  <c r="G667" i="1" s="1"/>
  <c r="C25" i="13"/>
  <c r="I33" i="13"/>
  <c r="K552" i="1"/>
  <c r="C28" i="10"/>
  <c r="D23" i="10" s="1"/>
  <c r="H24" i="14"/>
  <c r="I24" i="14" s="1"/>
  <c r="F672" i="1"/>
  <c r="C4" i="10" s="1"/>
  <c r="F667" i="1"/>
  <c r="C51" i="2"/>
  <c r="G631" i="1"/>
  <c r="J631" i="1" s="1"/>
  <c r="J646" i="1"/>
  <c r="G193" i="1"/>
  <c r="G628" i="1" s="1"/>
  <c r="J628" i="1" s="1"/>
  <c r="G626" i="1"/>
  <c r="J626" i="1" s="1"/>
  <c r="J52" i="1"/>
  <c r="H621" i="1" s="1"/>
  <c r="J621" i="1" s="1"/>
  <c r="C38" i="10"/>
  <c r="C145" i="2" l="1"/>
  <c r="H672" i="1"/>
  <c r="C6" i="10" s="1"/>
  <c r="I660" i="1"/>
  <c r="I664" i="1" s="1"/>
  <c r="I672" i="1" s="1"/>
  <c r="C7" i="10" s="1"/>
  <c r="D25" i="10"/>
  <c r="G672" i="1"/>
  <c r="C5"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<sst xmlns="http://schemas.openxmlformats.org/spreadsheetml/2006/main" count="5508" uniqueCount="1612">
  <si>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</si>
  <si>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</si>
  <si>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</si>
  <si>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</si>
  <si>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</si>
  <si>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</si>
  <si>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</si>
  <si>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</si>
  <si>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</si>
  <si>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</si>
  <si>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</si>
  <si>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</si>
  <si>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</si>
  <si>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</si>
  <si>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</si>
  <si>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</si>
  <si>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</si>
  <si>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</si>
  <si>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</si>
  <si>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</si>
  <si>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</si>
  <si>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</si>
  <si>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</si>
  <si>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</si>
  <si>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</si>
  <si>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</si>
  <si>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</si>
  <si>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</si>
  <si>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</si>
  <si>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</si>
  <si>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</si>
  <si>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</si>
  <si>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</si>
  <si>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</si>
  <si>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</si>
  <si>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</si>
  <si>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</si>
  <si>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</si>
  <si>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</si>
  <si>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</si>
  <si>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</si>
  <si>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</si>
  <si>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</si>
  <si>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</si>
  <si>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</si>
  <si>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</si>
  <si>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</si>
  <si>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</si>
  <si>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</si>
  <si>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</si>
  <si>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</si>
  <si>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</si>
  <si>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</si>
  <si>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</si>
  <si>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</si>
  <si>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</si>
  <si>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</si>
  <si>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</si>
  <si>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</si>
  <si>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</si>
  <si>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</si>
  <si>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</si>
  <si>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</si>
  <si>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</si>
  <si>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</si>
  <si>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</si>
  <si>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</si>
  <si>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</si>
  <si>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</si>
  <si>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</si>
  <si>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</si>
  <si>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</si>
  <si>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</si>
  <si>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</si>
  <si>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</si>
  <si>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</si>
  <si>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</si>
  <si>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</si>
  <si>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</si>
  <si>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</si>
  <si>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</si>
  <si>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</si>
  <si>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</si>
  <si>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</si>
  <si>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</si>
  <si>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</si>
  <si>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</si>
  <si>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</si>
  <si>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</si>
  <si>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</si>
  <si>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</si>
  <si>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</si>
  <si>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</si>
  <si>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</si>
  <si>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</si>
  <si>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</si>
  <si>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</si>
  <si>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</si>
  <si>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</si>
  <si>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</si>
  <si>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</si>
  <si>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</si>
  <si>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</si>
  <si>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</si>
  <si>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</si>
  <si>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</si>
  <si>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</si>
  <si>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</si>
  <si>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</si>
  <si>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</si>
  <si>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</si>
  <si>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</si>
  <si>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</si>
  <si>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</si>
  <si>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</si>
  <si>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</si>
  <si>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</si>
  <si>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</si>
  <si>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</si>
  <si>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</si>
  <si>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</si>
  <si>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</si>
  <si>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</si>
  <si>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</si>
  <si>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</si>
  <si>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</si>
  <si>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</si>
  <si>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</si>
  <si>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</si>
  <si>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</si>
  <si>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</si>
  <si>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</si>
  <si>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</si>
  <si>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</si>
  <si>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</si>
  <si>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</si>
  <si>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</si>
  <si>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</si>
  <si>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</si>
  <si>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</si>
  <si>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</si>
  <si>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</si>
  <si>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</si>
  <si>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</si>
  <si>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</si>
  <si>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</si>
  <si>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</si>
  <si>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</si>
  <si>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</si>
  <si>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</si>
  <si>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</si>
  <si>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</si>
  <si>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</si>
  <si>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</si>
  <si>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</si>
  <si>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</si>
  <si>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</si>
  <si>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</si>
  <si>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</si>
  <si>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</si>
  <si>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</si>
  <si>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</si>
  <si>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</si>
  <si>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</si>
  <si>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</si>
  <si>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</si>
  <si>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</si>
  <si>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</si>
  <si>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</si>
  <si>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</si>
  <si>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</si>
  <si>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</si>
  <si>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</si>
  <si>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</si>
  <si>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</si>
  <si>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</si>
  <si>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</si>
  <si>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</si>
  <si>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</si>
  <si>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</si>
  <si>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</si>
  <si>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</si>
  <si>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</si>
  <si>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</si>
  <si>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</si>
  <si>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</si>
  <si>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</si>
  <si>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</si>
  <si>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</si>
  <si>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</si>
  <si>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</si>
  <si>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</si>
  <si>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</si>
  <si>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</si>
  <si>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</si>
  <si>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</si>
  <si>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</si>
  <si>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</si>
  <si>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</si>
  <si>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</si>
  <si>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</si>
  <si>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</si>
  <si>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</si>
  <si>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</si>
  <si>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</si>
  <si>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</si>
  <si>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</si>
  <si>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</si>
  <si>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</si>
  <si>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</si>
  <si>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</si>
  <si>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</si>
  <si>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</si>
  <si>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</si>
  <si>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</si>
  <si>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</si>
  <si>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</si>
  <si>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</si>
  <si>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</si>
  <si>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</si>
  <si>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</si>
  <si>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</si>
  <si>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</si>
  <si>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</si>
  <si>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</si>
  <si>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</si>
  <si>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</si>
  <si>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</si>
  <si>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</si>
  <si>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</si>
  <si>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</si>
  <si>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</si>
  <si>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</si>
  <si>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</si>
  <si>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</si>
  <si>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</si>
  <si>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</si>
  <si>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</si>
  <si>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</si>
  <si>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</si>
  <si>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</si>
  <si>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</si>
  <si>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</si>
  <si>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</si>
  <si>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</si>
  <si>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</si>
  <si>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</si>
  <si>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</si>
  <si>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</si>
  <si>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</si>
  <si>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</si>
  <si>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</si>
  <si>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</si>
  <si>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</si>
  <si>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</si>
  <si>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</si>
  <si>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</si>
  <si>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</si>
  <si>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</si>
  <si>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</si>
  <si>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</si>
  <si>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</si>
  <si>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</si>
  <si>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</si>
  <si>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</si>
  <si>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</si>
  <si>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</si>
  <si>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</si>
  <si>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</si>
  <si>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</si>
  <si>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</si>
  <si>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</si>
  <si>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</si>
  <si>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</si>
  <si>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</si>
  <si>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</si>
  <si>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</si>
  <si>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</si>
  <si>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</si>
  <si>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</si>
  <si>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</si>
  <si>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</si>
  <si>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</si>
  <si>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</si>
  <si>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</si>
  <si>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</si>
  <si>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</si>
  <si>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</si>
  <si>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</si>
  <si>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</si>
  <si>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</si>
  <si>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</si>
  <si>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</si>
  <si>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</si>
  <si>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</si>
  <si>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</si>
  <si>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</si>
  <si>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</si>
  <si>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</si>
  <si>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</si>
  <si>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</si>
  <si>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</si>
  <si>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</si>
  <si>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</si>
  <si>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</si>
  <si>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</si>
  <si>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</si>
  <si>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</si>
  <si>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</si>
  <si>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</si>
  <si>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</si>
  <si>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</si>
  <si>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</si>
  <si>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</si>
  <si>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</si>
  <si>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</si>
  <si>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</si>
  <si>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</si>
  <si>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</si>
  <si>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</si>
  <si>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</si>
  <si>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</si>
  <si>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</si>
  <si>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</si>
  <si>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</si>
  <si>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</si>
  <si>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</si>
  <si>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</si>
  <si>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</si>
  <si>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</si>
  <si>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</si>
  <si>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</si>
  <si>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</si>
  <si>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</si>
  <si>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</si>
  <si>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</si>
  <si>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</si>
  <si>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</si>
  <si>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</si>
  <si>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</si>
  <si>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</si>
  <si>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</si>
  <si>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</si>
  <si>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</si>
  <si>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</si>
  <si>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</si>
  <si>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</si>
  <si>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</si>
  <si>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</si>
  <si>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</si>
  <si>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</si>
  <si>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</si>
  <si>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</si>
  <si>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</si>
  <si>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</si>
  <si>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</si>
  <si>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</si>
  <si>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</si>
  <si>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</si>
  <si>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</si>
  <si>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</si>
  <si>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</si>
  <si>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</si>
  <si>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</si>
  <si>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</si>
  <si>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</si>
  <si>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</si>
  <si>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</si>
  <si>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</si>
  <si>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</si>
  <si>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</si>
  <si>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</si>
  <si>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</si>
  <si>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</si>
  <si>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</si>
  <si>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</si>
  <si>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</si>
  <si>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</si>
  <si>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</si>
  <si>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</si>
  <si>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</si>
  <si>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</si>
  <si>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</si>
  <si>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</si>
  <si>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</si>
  <si>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</si>
  <si>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</si>
  <si>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</si>
  <si>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</si>
  <si>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</si>
  <si>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</si>
  <si>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</si>
  <si>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</si>
  <si>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</si>
  <si>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</si>
  <si>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</si>
  <si>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</si>
  <si>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</si>
  <si>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</si>
  <si>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</si>
  <si>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</si>
  <si>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</si>
  <si>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</si>
  <si>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</si>
  <si>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</si>
  <si>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</si>
  <si>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</si>
  <si>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</si>
  <si>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</si>
  <si>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</si>
  <si>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</si>
  <si>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</si>
  <si>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</si>
  <si>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</si>
  <si>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</si>
  <si>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</si>
  <si>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</si>
  <si>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</si>
  <si>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</si>
  <si>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</si>
  <si>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</si>
  <si>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</si>
  <si>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</si>
  <si>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</si>
  <si>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</si>
  <si>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</si>
  <si>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</si>
  <si>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</si>
  <si>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</si>
  <si>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</si>
  <si>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</si>
  <si>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</si>
  <si>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</si>
  <si>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</si>
  <si>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</si>
  <si>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</si>
  <si>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</si>
  <si>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</si>
  <si>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</si>
  <si>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</si>
  <si>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</si>
  <si>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</si>
  <si>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</si>
  <si>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</si>
  <si>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</si>
  <si>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</si>
  <si>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</si>
  <si>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</si>
  <si>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</si>
  <si>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</si>
  <si>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</si>
  <si>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</si>
  <si>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</si>
  <si>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</si>
  <si>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</si>
  <si>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</si>
  <si>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</si>
  <si>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</si>
  <si>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</si>
  <si>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</si>
  <si>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</si>
  <si>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</si>
  <si>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</si>
  <si>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</si>
  <si>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</si>
  <si>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</si>
  <si>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</si>
  <si>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</si>
  <si>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</si>
  <si>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</si>
  <si>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</si>
  <si>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</si>
  <si>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</si>
  <si>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</si>
  <si>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</si>
  <si>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</si>
  <si>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</si>
  <si>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</si>
  <si>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</si>
  <si>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</si>
  <si>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</si>
  <si>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</si>
  <si>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</si>
  <si>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</si>
  <si>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</si>
  <si>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</si>
  <si>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</si>
  <si>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</si>
  <si>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</si>
  <si>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</si>
  <si>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</si>
  <si>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</si>
  <si>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</si>
  <si>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</si>
  <si>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</si>
  <si>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</si>
  <si>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</si>
  <si>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</si>
  <si>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</si>
  <si>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</si>
  <si>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</si>
  <si>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</si>
  <si>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</si>
  <si>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</si>
  <si>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</si>
  <si>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</si>
  <si>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</si>
  <si>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</si>
  <si>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</si>
  <si>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</si>
  <si>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</si>
  <si>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</si>
  <si>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</si>
  <si>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</si>
  <si>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</si>
  <si>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</si>
  <si>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</si>
  <si>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</si>
  <si>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</si>
  <si>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</si>
  <si>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</si>
  <si>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</si>
  <si>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</si>
  <si>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</si>
  <si>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</si>
  <si>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</si>
  <si>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</si>
  <si>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</si>
  <si>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</si>
  <si>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</si>
  <si>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</si>
  <si>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</si>
  <si>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</si>
  <si>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</si>
  <si>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</si>
  <si>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</si>
  <si>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</si>
  <si>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</si>
  <si>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</si>
  <si>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</si>
  <si>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</si>
  <si>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</si>
  <si>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</si>
  <si>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</si>
  <si>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</si>
  <si>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</si>
  <si>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</si>
  <si>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</si>
  <si>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</si>
  <si>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</si>
  <si>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</si>
  <si>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</si>
  <si>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</si>
  <si>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</si>
  <si>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</si>
  <si>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</si>
  <si>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</si>
  <si>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</si>
  <si>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</si>
  <si>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</si>
  <si>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</si>
  <si>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</si>
  <si>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</si>
  <si>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</si>
  <si>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</si>
  <si>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</si>
  <si>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</si>
  <si>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</si>
  <si>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</si>
  <si>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</si>
  <si>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</si>
  <si>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</si>
  <si>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</si>
  <si>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</si>
  <si>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</si>
  <si>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</si>
  <si>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</si>
  <si>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</si>
  <si>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</si>
  <si>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</si>
  <si>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</si>
  <si>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</si>
  <si>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</si>
  <si>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</si>
  <si>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</si>
  <si>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</si>
  <si>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</si>
  <si>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</si>
  <si>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</si>
  <si>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</si>
  <si>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</si>
  <si>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</si>
  <si>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</si>
  <si>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</si>
  <si>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</si>
  <si>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</si>
  <si>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</si>
  <si>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</si>
  <si>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</si>
  <si>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</si>
  <si>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</si>
  <si>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</si>
  <si>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</si>
  <si>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</si>
  <si>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</si>
  <si>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</si>
  <si>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</si>
  <si>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</si>
  <si>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</si>
  <si>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</si>
  <si>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</si>
  <si>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</si>
  <si>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</si>
  <si>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</si>
  <si>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</si>
  <si>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</si>
  <si>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</si>
  <si>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</si>
  <si>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</si>
  <si>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</si>
  <si>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</si>
  <si>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</si>
  <si>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</si>
  <si>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</si>
  <si>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</si>
  <si>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</si>
  <si>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</si>
  <si>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</si>
  <si>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</si>
  <si>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</si>
  <si>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</si>
  <si>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</si>
  <si>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</si>
  <si>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</si>
  <si>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</si>
  <si>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</si>
  <si>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</si>
  <si>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</si>
  <si>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</si>
  <si>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</si>
  <si>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</si>
  <si>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</si>
  <si>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</si>
  <si>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</si>
  <si>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</si>
  <si>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</si>
  <si>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</si>
  <si>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</si>
  <si>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</si>
  <si>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</si>
  <si>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</si>
  <si>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</si>
  <si>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</si>
  <si>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</si>
  <si>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</si>
  <si>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</si>
  <si>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</si>
  <si>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</si>
  <si>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</si>
  <si>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</si>
  <si>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</si>
  <si>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</si>
  <si>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</si>
  <si>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</si>
  <si>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</si>
  <si>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</si>
  <si>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</si>
  <si>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</si>
  <si>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</si>
  <si>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</si>
  <si>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</si>
  <si>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</si>
  <si>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</si>
  <si>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</si>
  <si>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</si>
  <si>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</si>
  <si>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</si>
  <si>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</si>
  <si>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</si>
  <si>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</si>
  <si>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</si>
  <si>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</si>
  <si>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</si>
  <si>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</si>
  <si>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</si>
  <si>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</si>
  <si>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</si>
  <si>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</si>
  <si>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</si>
  <si>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</si>
  <si>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</si>
  <si>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</si>
  <si>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</si>
  <si>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</si>
  <si>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</si>
  <si>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</si>
  <si>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</si>
  <si>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</si>
  <si>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</si>
  <si>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</si>
  <si>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</si>
  <si>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</si>
  <si>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</si>
  <si>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</si>
  <si>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</si>
  <si>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</si>
  <si>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</si>
  <si>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</si>
  <si>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</si>
  <si>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</si>
  <si>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</si>
  <si>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</si>
  <si>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</si>
  <si>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</si>
  <si>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</si>
  <si>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</si>
  <si>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</si>
  <si>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</si>
  <si>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</si>
  <si>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</si>
  <si>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</si>
  <si>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</si>
  <si>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</si>
  <si>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</si>
  <si>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</si>
  <si>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</si>
  <si>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</si>
  <si>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</si>
  <si>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</si>
  <si>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</si>
  <si>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</si>
  <si>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</si>
  <si>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</si>
  <si>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</si>
  <si>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</si>
  <si>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</si>
  <si>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</si>
  <si>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</si>
  <si>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</si>
  <si>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</si>
  <si>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</si>
  <si>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</si>
  <si>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</si>
  <si>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</si>
  <si>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</si>
  <si>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</si>
  <si>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</si>
  <si>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</si>
  <si>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</si>
  <si>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</si>
  <si>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</si>
  <si>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</si>
  <si>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</si>
  <si>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</si>
  <si>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</si>
  <si>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</si>
  <si>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</si>
  <si>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</si>
  <si>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</si>
  <si>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</si>
  <si>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</si>
  <si>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</si>
  <si>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</si>
  <si>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</si>
  <si>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</si>
  <si>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</si>
  <si>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</si>
  <si>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</si>
  <si>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</si>
  <si>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</si>
  <si>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</si>
  <si>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</si>
  <si>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</si>
  <si>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</si>
  <si>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</si>
  <si>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</si>
  <si>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</si>
  <si>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</si>
  <si>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</si>
  <si>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</si>
  <si>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</si>
  <si>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</si>
  <si>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</si>
  <si>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</si>
  <si>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</si>
  <si>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</si>
  <si>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</si>
  <si>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</si>
  <si>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</si>
  <si>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</si>
  <si>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</si>
  <si>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</si>
  <si>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</si>
  <si>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</si>
  <si>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</si>
  <si>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</si>
  <si>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</si>
  <si>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</si>
  <si>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</si>
  <si>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</si>
  <si>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</si>
  <si>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</si>
  <si>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</si>
  <si>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</si>
  <si>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</si>
  <si>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</si>
  <si>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</si>
  <si>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</si>
  <si>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</si>
  <si>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</si>
  <si>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</si>
  <si>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</si>
  <si>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</si>
  <si>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</si>
  <si>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</si>
  <si>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</si>
  <si>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</si>
  <si>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</si>
  <si>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</si>
  <si>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</si>
  <si>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</si>
  <si>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</si>
  <si>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</si>
  <si>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</si>
  <si>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</si>
  <si>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</si>
  <si>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</si>
  <si>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</si>
  <si>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</si>
  <si>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</si>
  <si>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</si>
  <si>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</si>
  <si>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</si>
  <si>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</si>
  <si>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</si>
  <si>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</si>
  <si>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</si>
  <si>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</si>
  <si>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</si>
  <si>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</si>
  <si>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</si>
  <si>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</si>
  <si>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</si>
  <si>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</si>
  <si>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</si>
  <si>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</si>
  <si>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</si>
  <si>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</si>
  <si>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</si>
  <si>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</si>
  <si>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</si>
  <si>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</si>
  <si>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</si>
  <si>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</si>
  <si>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</si>
  <si>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</si>
  <si>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</si>
  <si>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</si>
  <si>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</si>
  <si>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</si>
  <si>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</si>
  <si>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</si>
  <si>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</si>
  <si>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</si>
  <si>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</si>
  <si>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</si>
  <si>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</si>
  <si>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</si>
  <si>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</si>
  <si>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</si>
  <si>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</si>
  <si>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</si>
  <si>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</si>
  <si>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</si>
  <si>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</si>
  <si>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</si>
  <si>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</si>
  <si>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</si>
  <si>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</si>
  <si>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</si>
  <si>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</si>
  <si>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</si>
  <si>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</si>
  <si>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</si>
  <si>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</si>
  <si>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</si>
  <si>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</si>
  <si>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</si>
  <si>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</si>
  <si>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</si>
  <si>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</si>
  <si>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</si>
  <si>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</si>
  <si>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</si>
  <si>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</si>
  <si>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</si>
  <si>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</si>
  <si>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</si>
  <si>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</si>
  <si>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</si>
  <si>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</si>
  <si>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</si>
  <si>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</si>
  <si>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</si>
  <si>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</si>
  <si>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</si>
  <si>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</si>
  <si>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</si>
  <si>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</si>
  <si>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</si>
  <si>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</si>
  <si>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</si>
  <si>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</si>
  <si>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</si>
  <si>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</si>
  <si>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</si>
  <si>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</si>
  <si>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</si>
  <si>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</si>
  <si>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</si>
  <si>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</si>
  <si>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</si>
  <si>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</si>
  <si>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</si>
  <si>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</si>
  <si>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</si>
  <si>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</si>
  <si>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</si>
  <si>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</si>
  <si>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</si>
  <si>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</si>
  <si>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</si>
  <si>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</si>
  <si>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</si>
  <si>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</si>
  <si>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</si>
  <si>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</si>
  <si>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</si>
  <si>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</si>
  <si>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</si>
  <si>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</si>
  <si>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</si>
  <si>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</si>
  <si>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</si>
  <si>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</si>
  <si>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</si>
  <si>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</si>
  <si>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</si>
  <si>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</si>
  <si>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</si>
  <si>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</si>
  <si>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</si>
  <si>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</si>
  <si>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</si>
  <si>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</si>
  <si>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</si>
  <si>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</si>
  <si>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</si>
  <si>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</si>
  <si>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</si>
  <si>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</si>
  <si>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</si>
  <si>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</si>
  <si>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</si>
  <si>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</si>
  <si>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</si>
  <si>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</si>
  <si>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</si>
  <si>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</si>
  <si>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</si>
  <si>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</si>
  <si>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</si>
  <si>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</si>
  <si>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</si>
  <si>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</si>
  <si>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</si>
  <si>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</si>
  <si>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</si>
  <si>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</si>
  <si>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</si>
  <si>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</si>
  <si>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</si>
  <si>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</si>
  <si>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</si>
  <si>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</si>
  <si>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</si>
  <si>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</si>
  <si>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</si>
  <si>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</si>
  <si>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</si>
  <si>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</si>
  <si>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</si>
  <si>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</si>
  <si>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</si>
  <si>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</si>
  <si>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</si>
  <si>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</si>
  <si>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</si>
  <si>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</si>
  <si>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</si>
  <si>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</si>
  <si>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</si>
  <si>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</si>
  <si>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</si>
  <si>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</si>
  <si>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</si>
  <si>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</si>
  <si>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</si>
  <si>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</si>
  <si>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</si>
  <si>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</si>
  <si>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</si>
  <si>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</si>
  <si>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</si>
  <si>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</si>
  <si>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</si>
  <si>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</si>
  <si>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</si>
  <si>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</si>
  <si>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</si>
  <si>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</si>
  <si>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</si>
  <si>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</si>
  <si>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</si>
  <si>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</si>
  <si>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</si>
  <si>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</si>
  <si>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</si>
  <si>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</si>
  <si>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</si>
  <si>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</si>
  <si>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</si>
  <si>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</si>
  <si>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</si>
  <si>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</si>
  <si>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</si>
  <si>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</si>
  <si>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</si>
  <si>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</si>
  <si>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</si>
  <si>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</si>
  <si>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</si>
  <si>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</si>
  <si>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</si>
  <si>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</si>
  <si>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</si>
  <si>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</si>
  <si>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</si>
  <si>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</si>
  <si>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</si>
  <si>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</si>
  <si>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</si>
  <si>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</si>
  <si>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</si>
  <si>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</si>
  <si>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</si>
  <si>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</si>
  <si>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</si>
  <si>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</si>
  <si>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</si>
  <si>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</si>
  <si>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</si>
  <si>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</si>
  <si>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</si>
  <si>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</si>
  <si>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</si>
  <si>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</si>
  <si>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</si>
  <si>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</si>
  <si>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</si>
  <si>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</si>
  <si>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</si>
  <si>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</si>
  <si>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</si>
  <si>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</si>
  <si>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</si>
  <si>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</si>
  <si>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</si>
  <si>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</si>
  <si>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</si>
  <si>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</si>
  <si>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</si>
  <si>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</si>
  <si>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</si>
  <si>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</si>
  <si>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</si>
  <si>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</si>
  <si>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</si>
  <si>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</si>
  <si>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</si>
  <si>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</si>
  <si>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</si>
  <si>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</si>
  <si>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</si>
  <si>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</si>
  <si>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</si>
  <si>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</si>
  <si>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</si>
  <si>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</si>
  <si>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</si>
  <si>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</si>
  <si>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</si>
  <si>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</si>
  <si>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</si>
  <si>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</si>
  <si>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</si>
  <si>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</si>
  <si>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</si>
  <si>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</si>
  <si>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</si>
  <si>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</si>
  <si>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</si>
  <si>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</si>
  <si>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</si>
  <si>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</si>
  <si>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</si>
  <si>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</si>
  <si>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</si>
  <si>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</si>
  <si>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</si>
  <si>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</si>
  <si>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</si>
  <si>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</si>
  <si>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</si>
  <si>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</si>
  <si>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</si>
  <si>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</si>
  <si>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</si>
  <si>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</si>
  <si>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</si>
  <si>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</si>
  <si>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</si>
  <si>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</si>
  <si>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</si>
  <si>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</si>
  <si>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</si>
  <si>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</si>
  <si>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</si>
  <si>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</si>
  <si>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</si>
  <si>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</si>
  <si>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</si>
  <si>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</si>
  <si>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</si>
  <si>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</si>
  <si>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</si>
  <si>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</si>
  <si>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</si>
  <si>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</si>
  <si>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</si>
  <si>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</si>
  <si>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</si>
  <si>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</si>
  <si>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</si>
  <si>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</si>
  <si>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</si>
  <si>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</si>
  <si>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</si>
  <si>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</si>
  <si>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</si>
  <si>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</si>
  <si>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</si>
  <si>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</si>
  <si>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</si>
  <si>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</si>
  <si>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</si>
  <si>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</si>
  <si>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</si>
  <si>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</si>
  <si>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</si>
  <si>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</si>
  <si>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</si>
  <si>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</si>
  <si>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</si>
  <si>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</si>
  <si>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</si>
  <si>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</si>
  <si>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</si>
  <si>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</si>
  <si>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</si>
  <si>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</si>
  <si>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</si>
  <si>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</si>
  <si>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</si>
  <si>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</si>
  <si>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</si>
  <si>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</si>
  <si>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</si>
  <si>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</si>
  <si>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</si>
  <si>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</si>
  <si>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</si>
  <si>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</si>
  <si>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</si>
  <si>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</si>
  <si>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</si>
  <si>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</si>
  <si>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</si>
  <si>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</si>
  <si>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</si>
  <si>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</si>
  <si>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</si>
  <si>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</si>
  <si>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</si>
  <si>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</si>
  <si>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</si>
  <si>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</si>
  <si>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</si>
  <si>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</si>
  <si>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</si>
  <si>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</si>
  <si>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</si>
  <si>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</si>
  <si>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</si>
  <si>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</si>
  <si>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</si>
  <si>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</si>
  <si>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</si>
  <si>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</si>
  <si>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</si>
  <si>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</si>
  <si>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</si>
  <si>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</si>
  <si>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</si>
  <si>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</si>
  <si>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</si>
  <si>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</si>
  <si>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</si>
  <si>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</si>
  <si>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</si>
  <si>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</si>
  <si>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</si>
  <si>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</si>
  <si>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</si>
  <si>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</si>
  <si>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</si>
  <si>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</si>
  <si>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</si>
  <si>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</si>
  <si>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</si>
  <si>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</si>
  <si>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</si>
  <si>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</si>
  <si>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</si>
  <si>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</si>
  <si>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</si>
  <si>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</si>
  <si>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</si>
  <si>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</si>
  <si>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</si>
  <si>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</si>
  <si>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</si>
  <si>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</si>
  <si>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</si>
  <si>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</si>
  <si>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</si>
  <si>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</si>
  <si>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</si>
  <si>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</si>
  <si>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</si>
  <si>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</si>
  <si>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</si>
  <si>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</si>
  <si>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</si>
  <si>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</si>
  <si>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</si>
  <si>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</si>
  <si>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</si>
  <si>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</si>
  <si>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</si>
  <si>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</si>
  <si>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</si>
  <si>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</si>
  <si>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</si>
  <si>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</si>
  <si>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</si>
  <si>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</si>
  <si>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</si>
  <si>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</si>
  <si>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</si>
  <si>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</si>
  <si>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</si>
  <si>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</si>
  <si>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</si>
  <si>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</si>
  <si>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</si>
  <si>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</si>
  <si>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</si>
  <si>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</si>
  <si>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</si>
  <si>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</si>
  <si>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</si>
  <si>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</si>
  <si>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</si>
  <si>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</si>
  <si>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</si>
  <si>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</si>
  <si>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</si>
  <si>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</si>
  <si>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</si>
  <si>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</si>
  <si>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</si>
  <si>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</si>
  <si>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</si>
  <si>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</si>
  <si>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</si>
  <si>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</si>
  <si>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</si>
  <si>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</si>
  <si>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</si>
  <si>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</si>
  <si>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</si>
  <si>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</si>
  <si>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</si>
  <si>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</si>
  <si>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</si>
  <si>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</si>
  <si>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</si>
  <si>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</si>
  <si>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</si>
  <si>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</si>
  <si>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</si>
  <si>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</si>
  <si>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</si>
  <si>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</si>
  <si>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</si>
  <si>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</si>
  <si>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</si>
  <si>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</si>
  <si>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</si>
  <si>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</si>
  <si>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</si>
  <si>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</si>
  <si>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</si>
  <si>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</si>
  <si>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</si>
  <si>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</si>
  <si>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</si>
  <si>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</si>
  <si>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</si>
  <si>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</si>
  <si>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</si>
  <si>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</si>
  <si>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</si>
  <si>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</si>
  <si>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</si>
  <si>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</si>
  <si>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</si>
  <si>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</si>
  <si>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</si>
  <si>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</si>
  <si>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</si>
  <si>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</si>
  <si>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</si>
  <si>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</si>
  <si>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</si>
  <si>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</si>
  <si>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</si>
  <si>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</si>
  <si>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</si>
  <si>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</si>
  <si>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</si>
  <si>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</si>
  <si>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</si>
  <si>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</si>
  <si>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</si>
  <si>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</si>
  <si>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</si>
  <si>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</si>
  <si>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</si>
  <si>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</si>
  <si>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</si>
  <si>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</si>
  <si>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</si>
  <si>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</si>
  <si>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</si>
  <si>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</si>
  <si>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</si>
  <si>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</si>
  <si>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</si>
  <si>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</si>
  <si>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</si>
  <si>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</si>
  <si>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</si>
  <si>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</si>
  <si>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</si>
  <si>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</si>
  <si>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</si>
  <si>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</si>
  <si>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</si>
  <si>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</si>
  <si>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</si>
  <si>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</si>
  <si>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</si>
  <si>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</si>
  <si>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</si>
  <si>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</si>
  <si>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</si>
  <si>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</si>
  <si>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</si>
  <si>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</si>
  <si>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</si>
  <si>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</si>
  <si>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</si>
  <si>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</si>
  <si>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</si>
  <si>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</si>
  <si>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</si>
  <si>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</si>
  <si>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</si>
  <si>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</si>
  <si>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</si>
  <si>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</si>
  <si>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</si>
  <si>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</si>
  <si>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</si>
  <si>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</si>
  <si>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</si>
  <si>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</si>
  <si>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</si>
  <si>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</si>
  <si>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</si>
  <si>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</si>
  <si>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</si>
  <si>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</si>
  <si>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</si>
  <si>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</si>
  <si>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</si>
  <si>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</si>
  <si>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</si>
  <si>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</si>
  <si>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</si>
  <si>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</si>
  <si>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</si>
  <si>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</si>
  <si>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</si>
  <si>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</si>
  <si>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</si>
  <si>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</si>
  <si>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</si>
  <si>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</si>
  <si>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</si>
  <si>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</si>
  <si>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</si>
  <si>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</si>
  <si>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</si>
  <si>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</si>
  <si>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</si>
  <si>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</si>
  <si>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</si>
  <si>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</si>
  <si>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</si>
  <si>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</si>
  <si>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</si>
  <si>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</si>
  <si>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</si>
  <si>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</si>
  <si>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</si>
  <si>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</si>
  <si>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</si>
  <si>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</si>
  <si>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</si>
  <si>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</si>
  <si>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</si>
  <si>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</si>
  <si>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</si>
  <si>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</si>
  <si>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</si>
  <si>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</si>
  <si>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</si>
  <si>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</si>
  <si>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</si>
  <si>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</si>
  <si>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</si>
  <si>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</si>
  <si>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</si>
  <si>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</si>
  <si>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</si>
  <si>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</si>
  <si>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</si>
  <si>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</si>
  <si>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</si>
  <si>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</si>
  <si>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</si>
  <si>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</si>
  <si>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</si>
  <si>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</si>
  <si>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</si>
  <si>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</si>
  <si>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</si>
  <si>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</si>
  <si>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</si>
  <si>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</si>
  <si>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</si>
  <si>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</si>
  <si>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</si>
  <si>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</si>
  <si>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</si>
  <si>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</si>
  <si>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</si>
  <si>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</si>
  <si>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</si>
  <si>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</si>
  <si>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</si>
  <si>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</si>
  <si>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</si>
  <si>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</si>
  <si>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</si>
  <si>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</si>
  <si>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</si>
  <si>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</si>
  <si>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</si>
  <si>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</si>
  <si>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</si>
  <si>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</si>
  <si>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</si>
  <si>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</si>
  <si>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</si>
  <si>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</si>
  <si>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</si>
  <si>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</si>
  <si>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</si>
  <si>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</si>
  <si>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</si>
  <si>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</si>
  <si>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</si>
  <si>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</si>
  <si>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</si>
  <si>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</si>
  <si>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</si>
  <si>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</si>
  <si>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</si>
  <si>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</si>
  <si>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</si>
  <si>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</si>
  <si>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</si>
  <si>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</si>
  <si>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</si>
  <si>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</si>
  <si>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</si>
  <si>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</si>
  <si>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</si>
  <si>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</si>
  <si>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</si>
  <si>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</si>
  <si>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</si>
  <si>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</si>
  <si>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</si>
  <si>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</si>
  <si>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</si>
  <si>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</si>
  <si>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</si>
  <si>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</si>
  <si>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</si>
  <si>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</si>
  <si>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</si>
  <si>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</si>
  <si>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</si>
  <si>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</si>
  <si>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</si>
  <si>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</si>
  <si>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</si>
  <si>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</si>
  <si>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</si>
  <si>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</si>
  <si>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</si>
  <si>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</si>
  <si>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</si>
  <si>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</si>
  <si>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</si>
  <si>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</si>
  <si>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</si>
  <si>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</si>
  <si>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</si>
  <si>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</si>
  <si>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</si>
  <si>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</si>
  <si>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</si>
  <si>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</si>
  <si>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</si>
  <si>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</si>
  <si>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</si>
  <si>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</si>
  <si>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</si>
  <si>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</si>
  <si>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</si>
  <si>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</si>
  <si>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</si>
  <si>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</si>
  <si>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</si>
  <si>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</si>
  <si>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</si>
  <si>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</si>
  <si>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</si>
  <si>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</si>
  <si>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</si>
  <si>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</si>
  <si>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</si>
  <si>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</si>
  <si>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</si>
  <si>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</si>
  <si>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</si>
  <si>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</si>
  <si>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</si>
  <si>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</si>
  <si>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</si>
  <si>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</si>
  <si>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</si>
  <si>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</si>
  <si>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</si>
  <si>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09/22</t>
  </si>
  <si>
    <t>06/18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</si>
</sst>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0" zoomScaleNormal="90" workbookViewId="0">
      <pane xSplit="5" ySplit="3" topLeftCell="F366" activePane="bottomRight" state="frozen"/>
      <selection pane="topRight" activeCell="F1" sqref="F1"/>
      <selection pane="bottomLeft" activeCell="A4" sqref="A4"/>
      <selection pane="bottomRight" activeCell="K380" sqref="K38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1281</v>
      </c>
      <c r="B2" s="21">
        <v>355</v>
      </c>
      <c r="C2" s="21">
        <v>355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147300.34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529651.5</v>
      </c>
      <c r="G10" s="18"/>
      <c r="H10" s="18"/>
      <c r="I10" s="18"/>
      <c r="J10" s="67">
        <f>SUM(I440)</f>
        <v>392158.66000000003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35313.26</v>
      </c>
      <c r="G12" s="18">
        <v>687.77</v>
      </c>
      <c r="H12" s="18"/>
      <c r="I12" s="18"/>
      <c r="J12" s="67">
        <f>SUM(I441)</f>
        <v>4968.75</v>
      </c>
      <c r="K12" s="24" t="s">
        <v>288</v>
      </c>
      <c r="L12" s="24" t="s">
        <v>288</v>
      </c>
      <c r="M12" s="8"/>
      <c r="N12" s="266"/>
    </row>
    <row r="13" spans="1:14" s="3" customFormat="1" ht="12.2" customHeight="1" x14ac:dyDescent="0.15">
      <c r="A13" s="1" t="s">
        <v>604</v>
      </c>
      <c r="B13" s="2" t="s">
        <v>289</v>
      </c>
      <c r="C13" s="6">
        <v>5</v>
      </c>
      <c r="D13" s="2" t="s">
        <v>428</v>
      </c>
      <c r="E13" s="6">
        <v>140</v>
      </c>
      <c r="F13" s="18">
        <v>82431.64</v>
      </c>
      <c r="G13" s="18">
        <v>7040.88</v>
      </c>
      <c r="H13" s="18">
        <v>50753.21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6327.47</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801024.21</v>
      </c>
      <c r="G19" s="41">
        <f>SUM(G9:G18)</f>
        <v>7728.65</v>
      </c>
      <c r="H19" s="41">
        <f>SUM(H9:H18)</f>
        <v>50753.21</v>
      </c>
      <c r="I19" s="41">
        <f>SUM(I9:I18)</f>
        <v>0</v>
      </c>
      <c r="J19" s="41">
        <f>SUM(J9:J18)</f>
        <v>397127.41000000003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40969.78</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721510.6</v>
      </c>
      <c r="G23" s="18"/>
      <c r="H23" s="18">
        <v>3674.41</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2160.8000000000002</v>
      </c>
      <c r="G24" s="18">
        <v>7158.65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7303.63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6109.02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730975.03</v>
      </c>
      <c r="G32" s="41">
        <f>SUM(G22:G31)</f>
        <v>7158.65</v>
      </c>
      <c r="H32" s="41">
        <f>SUM(H22:H31)</f>
        <v>50753.210000000006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44541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570</v>
      </c>
      <c r="H48" s="18"/>
      <c r="I48" s="18"/>
      <c r="J48" s="13">
        <f>SUM(I459)</f>
        <v>397127.41000000003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25508.18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70049.179999999993</v>
      </c>
      <c r="G51" s="41">
        <f>SUM(G35:G50)</f>
        <v>570</v>
      </c>
      <c r="H51" s="41">
        <f>SUM(H35:H50)</f>
        <v>0</v>
      </c>
      <c r="I51" s="41">
        <f>SUM(I35:I50)</f>
        <v>0</v>
      </c>
      <c r="J51" s="41">
        <f>SUM(J35:J50)</f>
        <v>397127.41000000003</v>
      </c>
      <c r="K51" s="45" t="s">
        <v>288</v>
      </c>
      <c r="L51" s="45" t="s">
        <v>288</v>
      </c>
      <c r="N51" s="264"/>
    </row>
    <row r="52" spans="1:14" s="3" customFormat="1" ht="12.2" customHeight="1" thickTop="1" x14ac:dyDescent="0.15">
      <c r="A52" s="38" t="s">
        <v>455</v>
      </c>
      <c r="B52" s="39" t="s">
        <v>289</v>
      </c>
      <c r="C52" s="6">
        <v>37</v>
      </c>
      <c r="D52" s="39" t="s">
        <v>653</v>
      </c>
      <c r="E52" s="39"/>
      <c r="F52" s="41">
        <f>F51+F32</f>
        <v>801024.21</v>
      </c>
      <c r="G52" s="41">
        <f>G51+G32</f>
        <v>7728.65</v>
      </c>
      <c r="H52" s="41">
        <f>H51+H32</f>
        <v>50753.210000000006</v>
      </c>
      <c r="I52" s="41">
        <f>I51+I32</f>
        <v>0</v>
      </c>
      <c r="J52" s="41">
        <f>J51+J32</f>
        <v>397127.41000000003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1552844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1552844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141876.78</v>
      </c>
      <c r="G68" s="24" t="s">
        <v>288</v>
      </c>
      <c r="H68" s="18">
        <v>860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3570.34</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145447.12</v>
      </c>
      <c r="G79" s="45" t="s">
        <v>288</v>
      </c>
      <c r="H79" s="41">
        <f>SUM(H63:H78)</f>
        <v>860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11656.58</v>
      </c>
      <c r="G96" s="18"/>
      <c r="H96" s="18"/>
      <c r="I96" s="18"/>
      <c r="J96" s="18">
        <v>7943.9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20269.29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7250</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2615.88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9974.18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9184.23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v>630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38064.990000000005</v>
      </c>
      <c r="G111" s="41">
        <f>SUM(G96:G110)</f>
        <v>20269.29</v>
      </c>
      <c r="H111" s="41">
        <f>SUM(H96:H110)</f>
        <v>2615.88</v>
      </c>
      <c r="I111" s="41">
        <f>SUM(I96:I110)</f>
        <v>0</v>
      </c>
      <c r="J111" s="41">
        <f>SUM(J96:J110)</f>
        <v>8573.9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1736356.11</v>
      </c>
      <c r="G112" s="41">
        <f>G60+G111</f>
        <v>20269.29</v>
      </c>
      <c r="H112" s="41">
        <f>H60+H79+H94+H111</f>
        <v>3475.88</v>
      </c>
      <c r="I112" s="41">
        <f>I60+I111</f>
        <v>0</v>
      </c>
      <c r="J112" s="41">
        <f>J60+J111</f>
        <v>8573.9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1098118.8999999999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228798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1326916.8999999999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13200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v>21881.919999999998</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947.58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v>390974.77</v>
      </c>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13200</v>
      </c>
      <c r="G136" s="41">
        <f>SUM(G123:G135)</f>
        <v>947.58</v>
      </c>
      <c r="H136" s="41">
        <f>SUM(H123:H135)</f>
        <v>21881.919999999998</v>
      </c>
      <c r="I136" s="41">
        <f>SUM(I123:I135)</f>
        <v>390974.77</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1340116.8999999999</v>
      </c>
      <c r="G140" s="41">
        <f>G121+SUM(G136:G137)</f>
        <v>947.58</v>
      </c>
      <c r="H140" s="41">
        <f>H121+SUM(H136:H139)</f>
        <v>21881.919999999998</v>
      </c>
      <c r="I140" s="41">
        <f>I121+I136</f>
        <v>390974.77</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4733</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27646.9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11119.02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2093.33</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40782.44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40959.33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27656.6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4263</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27656.6</v>
      </c>
      <c r="G162" s="41">
        <f>SUM(G150:G161)</f>
        <v>45045.440000000002</v>
      </c>
      <c r="H162" s="41">
        <f>SUM(H150:H161)</f>
        <v>86551.58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8297.7900000000009</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35954.39</v>
      </c>
      <c r="G169" s="41">
        <f>G147+G162+SUM(G163:G168)</f>
        <v>45045.440000000002</v>
      </c>
      <c r="H169" s="41">
        <f>H147+H162+SUM(H163:H168)</f>
        <v>86551.58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495000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495000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41000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18082.939999999999</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18082.939999999999</v>
      </c>
      <c r="G183" s="41">
        <f>SUM(G179:G182)</f>
        <v>0</v>
      </c>
      <c r="H183" s="41">
        <f>SUM(H179:H182)</f>
        <v>0</v>
      </c>
      <c r="I183" s="41">
        <f>SUM(I179:I182)</f>
        <v>0</v>
      </c>
      <c r="J183" s="41">
        <f>SUM(J179:J182)</f>
        <v>41000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18082.939999999999</v>
      </c>
      <c r="G192" s="41">
        <f>G183+SUM(G188:G191)</f>
        <v>0</v>
      </c>
      <c r="H192" s="41">
        <f>+H183+SUM(H188:H191)</f>
        <v>0</v>
      </c>
      <c r="I192" s="41">
        <f>I177+I183+SUM(I188:I191)</f>
        <v>495000</v>
      </c>
      <c r="J192" s="41">
        <f>J183</f>
        <v>41000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3130510.34</v>
      </c>
      <c r="G193" s="47">
        <f>G112+G140+G169+G192</f>
        <v>66262.31</v>
      </c>
      <c r="H193" s="47">
        <f>H112+H140+H169+H192</f>
        <v>111909.38</v>
      </c>
      <c r="I193" s="47">
        <f>I112+I140+I169+I192</f>
        <v>885974.77</v>
      </c>
      <c r="J193" s="47">
        <f>J112+J140+J192</f>
        <v>49573.9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333352.63</v>
      </c>
      <c r="G197" s="18">
        <v>178532</v>
      </c>
      <c r="H197" s="18">
        <v>2528.62</v>
      </c>
      <c r="I197" s="18">
        <v>18281.2</v>
      </c>
      <c r="J197" s="18">
        <v>12955.34</v>
      </c>
      <c r="K197" s="18">
        <v>0</v>
      </c>
      <c r="L197" s="19">
        <f>SUM(F197:K197)</f>
        <v>545649.78999999992</v>
      </c>
      <c r="M197" s="8"/>
      <c r="N197" s="266"/>
    </row>
    <row r="198" spans="1:14" s="3" customFormat="1" ht="12.2" customHeight="1" x14ac:dyDescent="0.15">
      <c r="A198" s="1" t="s">
        <v>439</v>
      </c>
      <c r="B198" s="2" t="s">
        <v>341</v>
      </c>
      <c r="C198" s="2" t="s">
        <v>291</v>
      </c>
      <c r="D198" s="2" t="s">
        <v>431</v>
      </c>
      <c r="E198" s="6">
        <v>1200</v>
      </c>
      <c r="F198" s="18">
        <v>135095.56</v>
      </c>
      <c r="G198" s="18">
        <v>37236.180000000008</v>
      </c>
      <c r="H198" s="18">
        <v>21546.080000000002</v>
      </c>
      <c r="I198" s="18">
        <v>567.95000000000005</v>
      </c>
      <c r="J198" s="18">
        <v>137.32</v>
      </c>
      <c r="K198" s="18"/>
      <c r="L198" s="19">
        <f>SUM(F198:K198)</f>
        <v>194583.09000000003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5146.72</v>
      </c>
      <c r="G200" s="18">
        <v>1014.8000000000001</v>
      </c>
      <c r="H200" s="18">
        <v>2196.1799999999998</v>
      </c>
      <c r="I200" s="18">
        <v>0</v>
      </c>
      <c r="J200" s="18"/>
      <c r="K200" s="18"/>
      <c r="L200" s="19">
        <f>SUM(F200:K200)</f>
        <v>8357.7000000000007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84758</v>
      </c>
      <c r="G202" s="18">
        <v>33860.92</v>
      </c>
      <c r="H202" s="18">
        <v>94239.849999999991</v>
      </c>
      <c r="I202" s="18">
        <v>5816.07</v>
      </c>
      <c r="J202" s="18">
        <v>139</v>
      </c>
      <c r="K202" s="18">
        <v>6909</v>
      </c>
      <c r="L202" s="19">
        <f t="shared" ref="L202:L208" si="0">SUM(F202:K202)</f>
        <v>225722.84</v>
      </c>
      <c r="M202" s="8"/>
      <c r="N202" s="266"/>
    </row>
    <row r="203" spans="1:14" s="3" customFormat="1" ht="12.2" customHeight="1" x14ac:dyDescent="0.15">
      <c r="A203" s="1" t="s">
        <v>443</v>
      </c>
      <c r="B203" s="2" t="s">
        <v>341</v>
      </c>
      <c r="C203" s="2" t="s">
        <v>295</v>
      </c>
      <c r="D203" s="2" t="s">
        <v>431</v>
      </c>
      <c r="E203" s="6">
        <v>2200</v>
      </c>
      <c r="F203" s="18">
        <v>26419.68</v>
      </c>
      <c r="G203" s="18">
        <v>3584.1100000000006</v>
      </c>
      <c r="H203" s="18">
        <v>4859</v>
      </c>
      <c r="I203" s="18">
        <v>308.18</v>
      </c>
      <c r="J203" s="18">
        <v>5533.1</v>
      </c>
      <c r="K203" s="18"/>
      <c r="L203" s="19">
        <f t="shared" si="0"/>
        <v>40704.07</v>
      </c>
      <c r="M203" s="8"/>
      <c r="N203" s="266"/>
    </row>
    <row r="204" spans="1:14" s="3" customFormat="1" ht="12.2" customHeight="1" x14ac:dyDescent="0.15">
      <c r="A204" s="1" t="s">
        <v>444</v>
      </c>
      <c r="B204" s="2" t="s">
        <v>341</v>
      </c>
      <c r="C204" s="2" t="s">
        <v>296</v>
      </c>
      <c r="D204" s="2" t="s">
        <v>431</v>
      </c>
      <c r="E204" s="6">
        <v>2300</v>
      </c>
      <c r="F204" s="18">
        <v>1497.9380926102447</v>
      </c>
      <c r="G204" s="18">
        <v>118.43505142226461</v>
      </c>
      <c r="H204" s="18">
        <v>89970.661417749478</v>
      </c>
      <c r="I204" s="18">
        <v>256.94247328550654</v>
      </c>
      <c r="J204" s="18">
        <v>27.360415391561737</v>
      </c>
      <c r="K204" s="18">
        <v>1672.1713379822409</v>
      </c>
      <c r="L204" s="19">
        <f t="shared" si="0"/>
        <v>93543.508788441308</v>
      </c>
      <c r="M204" s="8"/>
      <c r="N204" s="266"/>
    </row>
    <row r="205" spans="1:14" s="3" customFormat="1" ht="12.2" customHeight="1" x14ac:dyDescent="0.15">
      <c r="A205" s="1" t="s">
        <v>445</v>
      </c>
      <c r="B205" s="2" t="s">
        <v>341</v>
      </c>
      <c r="C205" s="2" t="s">
        <v>297</v>
      </c>
      <c r="D205" s="2" t="s">
        <v>431</v>
      </c>
      <c r="E205" s="6">
        <v>2400</v>
      </c>
      <c r="F205" s="18">
        <v>87851.76999999999</v>
      </c>
      <c r="G205" s="18">
        <v>42200.389999999992</v>
      </c>
      <c r="H205" s="18">
        <v>3629.8299999999995</v>
      </c>
      <c r="I205" s="18">
        <v>1224.3700000000001</v>
      </c>
      <c r="J205" s="18"/>
      <c r="K205" s="18">
        <v>2569.8900000000003</v>
      </c>
      <c r="L205" s="19">
        <f t="shared" si="0"/>
        <v>137476.24999999997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63193.95</v>
      </c>
      <c r="G207" s="18">
        <v>29619.75</v>
      </c>
      <c r="H207" s="18">
        <v>28582.83</v>
      </c>
      <c r="I207" s="18">
        <v>61176.270000000004</v>
      </c>
      <c r="J207" s="18">
        <v>2484.59</v>
      </c>
      <c r="K207" s="18"/>
      <c r="L207" s="19">
        <f t="shared" si="0"/>
        <v>185057.38999999998</v>
      </c>
      <c r="M207" s="8"/>
      <c r="N207" s="266"/>
    </row>
    <row r="208" spans="1:14" s="3" customFormat="1" ht="12.2" customHeight="1" x14ac:dyDescent="0.15">
      <c r="A208" s="1" t="s">
        <v>448</v>
      </c>
      <c r="B208" s="2" t="s">
        <v>341</v>
      </c>
      <c r="C208" s="2" t="s">
        <v>300</v>
      </c>
      <c r="D208" s="2" t="s">
        <v>431</v>
      </c>
      <c r="E208" s="6">
        <v>2700</v>
      </c>
      <c r="F208" s="18"/>
      <c r="G208" s="18"/>
      <c r="H208" s="18">
        <v>113692.22504378473</v>
      </c>
      <c r="I208" s="18">
        <v>7498.1814267407099</v>
      </c>
      <c r="J208" s="18"/>
      <c r="K208" s="18"/>
      <c r="L208" s="19">
        <f t="shared" si="0"/>
        <v>121190.40647052543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737316.24809261016</v>
      </c>
      <c r="G211" s="41">
        <f t="shared" si="1"/>
        <v>326166.58505142224</v>
      </c>
      <c r="H211" s="41">
        <f t="shared" si="1"/>
        <v>361245.27646153414</v>
      </c>
      <c r="I211" s="41">
        <f t="shared" si="1"/>
        <v>95129.163900026237</v>
      </c>
      <c r="J211" s="41">
        <f t="shared" si="1"/>
        <v>21276.710415391564</v>
      </c>
      <c r="K211" s="41">
        <f t="shared" si="1"/>
        <v>11151.061337982243</v>
      </c>
      <c r="L211" s="41">
        <f t="shared" si="1"/>
        <v>1552285.0452589663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477970.11</v>
      </c>
      <c r="I215" s="18"/>
      <c r="J215" s="18"/>
      <c r="K215" s="18"/>
      <c r="L215" s="19">
        <f>SUM(F215:K215)</f>
        <v>477970.11</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v>1173.21</v>
      </c>
      <c r="I220" s="18"/>
      <c r="J220" s="18"/>
      <c r="K220" s="18"/>
      <c r="L220" s="19">
        <f t="shared" ref="L220:L226" si="2">SUM(F220:K220)</f>
        <v>1173.21</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409.05031856720012</v>
      </c>
      <c r="G222" s="18">
        <v>32.341720764561281</v>
      </c>
      <c r="H222" s="18">
        <v>24568.790857372198</v>
      </c>
      <c r="I222" s="18">
        <v>70.164715797923051</v>
      </c>
      <c r="J222" s="18">
        <v>7.4714613956755134</v>
      </c>
      <c r="K222" s="18">
        <v>456.62916369838962</v>
      </c>
      <c r="L222" s="19">
        <f t="shared" si="2"/>
        <v>25544.448237595945</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31954.075079026057</v>
      </c>
      <c r="I226" s="18">
        <v>2287.6055019222558</v>
      </c>
      <c r="J226" s="18"/>
      <c r="K226" s="18"/>
      <c r="L226" s="19">
        <f t="shared" si="2"/>
        <v>34241.680580948312</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409.05031856720012</v>
      </c>
      <c r="G229" s="41">
        <f>SUM(G215:G228)</f>
        <v>32.341720764561281</v>
      </c>
      <c r="H229" s="41">
        <f>SUM(H215:H228)</f>
        <v>535666.18593639834</v>
      </c>
      <c r="I229" s="41">
        <f>SUM(I215:I228)</f>
        <v>2357.7702177201791</v>
      </c>
      <c r="J229" s="41">
        <f>SUM(J215:J228)</f>
        <v>7.4714613956755134</v>
      </c>
      <c r="K229" s="41">
        <f t="shared" si="3"/>
        <v>456.62916369838962</v>
      </c>
      <c r="L229" s="41">
        <f t="shared" si="3"/>
        <v>538929.44881854428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876134.85</v>
      </c>
      <c r="I233" s="18"/>
      <c r="J233" s="18"/>
      <c r="K233" s="18"/>
      <c r="L233" s="19">
        <f>SUM(F233:K233)</f>
        <v>876134.85</v>
      </c>
      <c r="M233" s="8"/>
      <c r="N233" s="266"/>
    </row>
    <row r="234" spans="1:14" s="3" customFormat="1" ht="12.2" customHeight="1" x14ac:dyDescent="0.15">
      <c r="A234" s="1" t="s">
        <v>439</v>
      </c>
      <c r="B234" s="2" t="s">
        <v>350</v>
      </c>
      <c r="C234" s="2" t="s">
        <v>291</v>
      </c>
      <c r="D234" s="2" t="s">
        <v>431</v>
      </c>
      <c r="E234" s="6">
        <v>1200</v>
      </c>
      <c r="F234" s="18">
        <v>0</v>
      </c>
      <c r="G234" s="18"/>
      <c r="H234" s="18">
        <v>61857.780000000006</v>
      </c>
      <c r="I234" s="18"/>
      <c r="J234" s="18"/>
      <c r="K234" s="18"/>
      <c r="L234" s="19">
        <f>SUM(F234:K234)</f>
        <v>61857.780000000006</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v>883.27</v>
      </c>
      <c r="I236" s="18"/>
      <c r="J236" s="18"/>
      <c r="K236" s="18"/>
      <c r="L236" s="19">
        <f>SUM(F236:K236)</f>
        <v>883.27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11669.2</v>
      </c>
      <c r="I238" s="18"/>
      <c r="J238" s="18"/>
      <c r="K238" s="18"/>
      <c r="L238" s="19">
        <f t="shared" ref="L238:L244" si="4">SUM(F238:K238)</f>
        <v>11669.2</v>
      </c>
      <c r="M238" s="8"/>
      <c r="N238" s="266"/>
    </row>
    <row r="239" spans="1:14" s="3" customFormat="1" ht="12.2" customHeight="1" x14ac:dyDescent="0.15">
      <c r="A239" s="1" t="s">
        <v>443</v>
      </c>
      <c r="B239" s="2" t="s">
        <v>350</v>
      </c>
      <c r="C239" s="2" t="s">
        <v>295</v>
      </c>
      <c r="D239" s="2" t="s">
        <v>431</v>
      </c>
      <c r="E239" s="6">
        <v>2200</v>
      </c>
      <c r="F239" s="18"/>
      <c r="G239" s="18"/>
      <c r="H239" s="18">
        <v>0</v>
      </c>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693.01158882255572</v>
      </c>
      <c r="G240" s="18">
        <v>54.793227813174141</v>
      </c>
      <c r="H240" s="18">
        <v>41624.357724878348</v>
      </c>
      <c r="I240" s="18">
        <v>118.87281091657054</v>
      </c>
      <c r="J240" s="18">
        <v>12.658123212762758</v>
      </c>
      <c r="K240" s="18">
        <v>773.61949831937011</v>
      </c>
      <c r="L240" s="19">
        <f t="shared" si="4"/>
        <v>43277.312973962784</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82013.979877189238</v>
      </c>
      <c r="I244" s="18">
        <v>3875.6530713370357</v>
      </c>
      <c r="J244" s="18"/>
      <c r="K244" s="18"/>
      <c r="L244" s="19">
        <f t="shared" si="4"/>
        <v>85889.632948526269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693.01158882255572</v>
      </c>
      <c r="G247" s="41">
        <f t="shared" si="5"/>
        <v>54.793227813174141</v>
      </c>
      <c r="H247" s="41">
        <f t="shared" si="5"/>
        <v>1074183.4376020676</v>
      </c>
      <c r="I247" s="41">
        <f t="shared" si="5"/>
        <v>3994.5258822536061</v>
      </c>
      <c r="J247" s="41">
        <f t="shared" si="5"/>
        <v>12.658123212762758</v>
      </c>
      <c r="K247" s="41">
        <f t="shared" si="5"/>
        <v>773.61949831937011</v>
      </c>
      <c r="L247" s="41">
        <f t="shared" si="5"/>
        <v>1079712.0459224889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v>2500</v>
      </c>
      <c r="G253" s="18">
        <v>198.04</v>
      </c>
      <c r="H253" s="18">
        <v>1002.01</v>
      </c>
      <c r="I253" s="18">
        <v>2493.52</v>
      </c>
      <c r="J253" s="18"/>
      <c r="K253" s="18">
        <v>315</v>
      </c>
      <c r="L253" s="19">
        <f t="shared" si="6"/>
        <v>6508.57</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v>680</v>
      </c>
      <c r="J255" s="18"/>
      <c r="K255" s="18"/>
      <c r="L255" s="19">
        <f t="shared" si="6"/>
        <v>680</v>
      </c>
      <c r="M255" s="8"/>
      <c r="N255" s="266"/>
    </row>
    <row r="256" spans="1:14" s="3" customFormat="1" ht="12.2" customHeight="1" thickTop="1" thickBot="1" x14ac:dyDescent="0.2">
      <c r="A256" s="38" t="s">
        <v>461</v>
      </c>
      <c r="B256" s="40">
        <v>10</v>
      </c>
      <c r="C256" s="40">
        <v>7</v>
      </c>
      <c r="D256" s="39" t="s">
        <v>431</v>
      </c>
      <c r="E256" s="40"/>
      <c r="F256" s="41">
        <f t="shared" ref="F256:K256" si="7">SUM(F250:F255)</f>
        <v>2500</v>
      </c>
      <c r="G256" s="41">
        <f t="shared" si="7"/>
        <v>198.04</v>
      </c>
      <c r="H256" s="41">
        <f t="shared" si="7"/>
        <v>1002.01</v>
      </c>
      <c r="I256" s="41">
        <f t="shared" si="7"/>
        <v>3173.52</v>
      </c>
      <c r="J256" s="41">
        <f t="shared" si="7"/>
        <v>0</v>
      </c>
      <c r="K256" s="41">
        <f t="shared" si="7"/>
        <v>315</v>
      </c>
      <c r="L256" s="41">
        <f>SUM(F256:K256)</f>
        <v>7188.57</v>
      </c>
      <c r="M256" s="8"/>
      <c r="N256" s="266"/>
    </row>
    <row r="257" spans="1:14" s="3" customFormat="1" ht="12.2" customHeight="1" thickTop="1" x14ac:dyDescent="0.15">
      <c r="A257" s="38" t="s">
        <v>462</v>
      </c>
      <c r="B257" s="40">
        <v>10</v>
      </c>
      <c r="C257" s="40">
        <v>8</v>
      </c>
      <c r="D257" s="39" t="s">
        <v>431</v>
      </c>
      <c r="E257" s="40"/>
      <c r="F257" s="41">
        <f t="shared" ref="F257:L257" si="8">F211+F229+F247+F256</f>
        <v>740918.30999999994</v>
      </c>
      <c r="G257" s="41">
        <f t="shared" si="8"/>
        <v>326451.75999999995</v>
      </c>
      <c r="H257" s="41">
        <f t="shared" si="8"/>
        <v>1972096.9100000001</v>
      </c>
      <c r="I257" s="41">
        <f t="shared" si="8"/>
        <v>104654.98000000004</v>
      </c>
      <c r="J257" s="41">
        <f t="shared" si="8"/>
        <v>21296.84</v>
      </c>
      <c r="K257" s="41">
        <f t="shared" si="8"/>
        <v>12696.310000000003</v>
      </c>
      <c r="L257" s="41">
        <f t="shared" si="8"/>
        <v>3178115.1099999994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99000</v>
      </c>
      <c r="L260" s="19">
        <f>SUM(F260:K260)</f>
        <v>99000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4851.05</v>
      </c>
      <c r="L261" s="19">
        <f>SUM(F261:K261)</f>
        <v>4851.05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41000</v>
      </c>
      <c r="L266" s="19">
        <f t="shared" si="9"/>
        <v>41000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144851.04999999999</v>
      </c>
      <c r="L270" s="41">
        <f t="shared" si="9"/>
        <v>144851.04999999999</v>
      </c>
      <c r="N270" s="264"/>
    </row>
    <row r="271" spans="1:14" s="3" customFormat="1" ht="12.2" customHeight="1" thickTop="1" x14ac:dyDescent="0.2">
      <c r="A271" s="43" t="s">
        <v>464</v>
      </c>
      <c r="B271" s="40">
        <v>10</v>
      </c>
      <c r="C271" s="40">
        <v>18</v>
      </c>
      <c r="D271" s="39" t="s">
        <v>431</v>
      </c>
      <c r="E271" s="40"/>
      <c r="F271" s="42">
        <f t="shared" ref="F271:L271" si="11">F257+F270</f>
        <v>740918.30999999994</v>
      </c>
      <c r="G271" s="42">
        <f t="shared" si="11"/>
        <v>326451.75999999995</v>
      </c>
      <c r="H271" s="42">
        <f t="shared" si="11"/>
        <v>1972096.9100000001</v>
      </c>
      <c r="I271" s="42">
        <f t="shared" si="11"/>
        <v>104654.98000000004</v>
      </c>
      <c r="J271" s="42">
        <f t="shared" si="11"/>
        <v>21296.84</v>
      </c>
      <c r="K271" s="42">
        <f t="shared" si="11"/>
        <v>157547.35999999999</v>
      </c>
      <c r="L271" s="42">
        <f t="shared" si="11"/>
        <v>3322966.1599999992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33888.22</v>
      </c>
      <c r="G276" s="18">
        <v>7745.26</v>
      </c>
      <c r="H276" s="18"/>
      <c r="I276" s="18">
        <v>1657.35</v>
      </c>
      <c r="J276" s="18"/>
      <c r="K276" s="18"/>
      <c r="L276" s="19">
        <f>SUM(F276:K276)</f>
        <v>43290.83</v>
      </c>
      <c r="M276" s="8"/>
      <c r="N276" s="266"/>
    </row>
    <row r="277" spans="1:14" s="3" customFormat="1" ht="12.2" customHeight="1" x14ac:dyDescent="0.15">
      <c r="A277" s="1" t="s">
        <v>439</v>
      </c>
      <c r="B277" s="2" t="s">
        <v>357</v>
      </c>
      <c r="C277" s="2" t="s">
        <v>291</v>
      </c>
      <c r="D277" s="2" t="s">
        <v>431</v>
      </c>
      <c r="E277" s="6">
        <v>1200</v>
      </c>
      <c r="F277" s="18">
        <v>29355.83</v>
      </c>
      <c r="G277" s="18"/>
      <c r="H277" s="18">
        <v>3411</v>
      </c>
      <c r="I277" s="18"/>
      <c r="J277" s="18"/>
      <c r="K277" s="18"/>
      <c r="L277" s="19">
        <f>SUM(F277:K277)</f>
        <v>32766.83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3018.4</v>
      </c>
      <c r="G279" s="18">
        <v>541.08000000000004</v>
      </c>
      <c r="H279" s="18">
        <v>2000</v>
      </c>
      <c r="I279" s="18">
        <v>528.5</v>
      </c>
      <c r="J279" s="18">
        <v>6767.18</v>
      </c>
      <c r="K279" s="18"/>
      <c r="L279" s="19">
        <f>SUM(F279:K279)</f>
        <v>12855.16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1005.94</v>
      </c>
      <c r="I281" s="18"/>
      <c r="J281" s="18"/>
      <c r="K281" s="18"/>
      <c r="L281" s="19">
        <f t="shared" ref="L281:L287" si="12">SUM(F281:K281)</f>
        <v>1005.94</v>
      </c>
      <c r="M281" s="8"/>
      <c r="N281" s="266"/>
    </row>
    <row r="282" spans="1:14" s="3" customFormat="1" ht="12.2" customHeight="1" x14ac:dyDescent="0.15">
      <c r="A282" s="1" t="s">
        <v>443</v>
      </c>
      <c r="B282" s="2" t="s">
        <v>357</v>
      </c>
      <c r="C282" s="2" t="s">
        <v>295</v>
      </c>
      <c r="D282" s="2" t="s">
        <v>431</v>
      </c>
      <c r="E282" s="6">
        <v>2200</v>
      </c>
      <c r="F282" s="18"/>
      <c r="G282" s="18"/>
      <c r="H282" s="18">
        <v>13450</v>
      </c>
      <c r="I282" s="18">
        <v>38.33</v>
      </c>
      <c r="J282" s="18"/>
      <c r="K282" s="18"/>
      <c r="L282" s="19">
        <f t="shared" si="12"/>
        <v>13488.33</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66262.45</v>
      </c>
      <c r="G290" s="42">
        <f t="shared" si="13"/>
        <v>8286.34</v>
      </c>
      <c r="H290" s="42">
        <f t="shared" si="13"/>
        <v>19866.940000000002</v>
      </c>
      <c r="I290" s="42">
        <f t="shared" si="13"/>
        <v>2224.1799999999998</v>
      </c>
      <c r="J290" s="42">
        <f t="shared" si="13"/>
        <v>6767.18</v>
      </c>
      <c r="K290" s="42">
        <f t="shared" si="13"/>
        <v>0</v>
      </c>
      <c r="L290" s="41">
        <f t="shared" si="13"/>
        <v>103407.09000000001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v>6109.75</v>
      </c>
      <c r="I315" s="18"/>
      <c r="J315" s="18"/>
      <c r="K315" s="18"/>
      <c r="L315" s="19">
        <f>SUM(F315:K315)</f>
        <v>6109.75</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6109.75</v>
      </c>
      <c r="I328" s="42">
        <f t="shared" si="17"/>
        <v>0</v>
      </c>
      <c r="J328" s="42">
        <f t="shared" si="17"/>
        <v>0</v>
      </c>
      <c r="K328" s="42">
        <f t="shared" si="17"/>
        <v>0</v>
      </c>
      <c r="L328" s="41">
        <f t="shared" si="17"/>
        <v>6109.75</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66262.45</v>
      </c>
      <c r="G338" s="41">
        <f t="shared" si="20"/>
        <v>8286.34</v>
      </c>
      <c r="H338" s="41">
        <f t="shared" si="20"/>
        <v>25976.690000000002</v>
      </c>
      <c r="I338" s="41">
        <f t="shared" si="20"/>
        <v>2224.1799999999998</v>
      </c>
      <c r="J338" s="41">
        <f t="shared" si="20"/>
        <v>6767.18</v>
      </c>
      <c r="K338" s="41">
        <f t="shared" si="20"/>
        <v>0</v>
      </c>
      <c r="L338" s="41">
        <f t="shared" si="20"/>
        <v>109516.84000000001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2392.54</v>
      </c>
      <c r="L350" s="19">
        <f t="shared" si="21"/>
        <v>2392.54</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2392.54</v>
      </c>
      <c r="L351" s="41">
        <f>SUM(L341:L350)</f>
        <v>2392.54</v>
      </c>
      <c r="M351" s="8"/>
      <c r="N351" s="266"/>
    </row>
    <row r="352" spans="1:43" s="12" customFormat="1" ht="12.2" customHeight="1" thickTop="1" thickBot="1" x14ac:dyDescent="0.25">
      <c r="A352" s="38" t="s">
        <v>469</v>
      </c>
      <c r="B352" s="40">
        <v>14</v>
      </c>
      <c r="C352" s="40">
        <v>17</v>
      </c>
      <c r="D352" s="39" t="s">
        <v>431</v>
      </c>
      <c r="E352" s="40"/>
      <c r="F352" s="41">
        <f>F338</f>
        <v>66262.45</v>
      </c>
      <c r="G352" s="41">
        <f>G338</f>
        <v>8286.34</v>
      </c>
      <c r="H352" s="41">
        <f>H338</f>
        <v>25976.690000000002</v>
      </c>
      <c r="I352" s="41">
        <f>I338</f>
        <v>2224.1799999999998</v>
      </c>
      <c r="J352" s="41">
        <f>J338</f>
        <v>6767.18</v>
      </c>
      <c r="K352" s="47">
        <f>K338+K351</f>
        <v>2392.54</v>
      </c>
      <c r="L352" s="41">
        <f>L338+L351</f>
        <v>111909.38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61814</v>
      </c>
      <c r="I358" s="18">
        <v>4263</v>
      </c>
      <c r="J358" s="18"/>
      <c r="K358" s="18"/>
      <c r="L358" s="13">
        <f>SUM(F358:K358)</f>
        <v>66077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61814</v>
      </c>
      <c r="I362" s="47">
        <f t="shared" si="22"/>
        <v>4263</v>
      </c>
      <c r="J362" s="47">
        <f t="shared" si="22"/>
        <v>0</v>
      </c>
      <c r="K362" s="47">
        <f t="shared" si="22"/>
        <v>0</v>
      </c>
      <c r="L362" s="47">
        <f t="shared" si="22"/>
        <v>66077</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4263</v>
      </c>
      <c r="G367" s="18"/>
      <c r="H367" s="18"/>
      <c r="I367" s="56">
        <f>SUM(F367:H367)</f>
        <v>4263</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4263</v>
      </c>
      <c r="G369" s="47">
        <f>SUM(G367:G368)</f>
        <v>0</v>
      </c>
      <c r="H369" s="47">
        <f>SUM(H367:H368)</f>
        <v>0</v>
      </c>
      <c r="I369" s="47">
        <f>SUM(I367:I368)</f>
        <v>4263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v>14160</v>
      </c>
      <c r="G379" s="18">
        <v>1083.25</v>
      </c>
      <c r="H379" s="18">
        <v>830932.57</v>
      </c>
      <c r="I379" s="18">
        <v>77.569999999999993</v>
      </c>
      <c r="J379" s="18"/>
      <c r="K379" s="18"/>
      <c r="L379" s="13">
        <f t="shared" si="23"/>
        <v>846253.3899999999</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18082.939999999999</v>
      </c>
      <c r="L381" s="13">
        <f t="shared" si="23"/>
        <v>18082.939999999999</v>
      </c>
      <c r="M381" s="8"/>
      <c r="N381" s="266"/>
    </row>
    <row r="382" spans="1:14" s="3" customFormat="1" ht="12.2" customHeight="1" thickTop="1" x14ac:dyDescent="0.15">
      <c r="A382" s="46" t="s">
        <v>469</v>
      </c>
      <c r="B382" s="39" t="s">
        <v>366</v>
      </c>
      <c r="C382" s="39" t="s">
        <v>349</v>
      </c>
      <c r="D382" s="39" t="s">
        <v>431</v>
      </c>
      <c r="E382" s="39"/>
      <c r="F382" s="139">
        <f>SUM(F374:F381)</f>
        <v>14160</v>
      </c>
      <c r="G382" s="139">
        <f t="shared" ref="G382:L382" si="24">SUM(G374:G381)</f>
        <v>1083.25</v>
      </c>
      <c r="H382" s="139">
        <f t="shared" si="24"/>
        <v>830932.57</v>
      </c>
      <c r="I382" s="41">
        <f t="shared" si="24"/>
        <v>77.569999999999993</v>
      </c>
      <c r="J382" s="47">
        <f t="shared" si="24"/>
        <v>0</v>
      </c>
      <c r="K382" s="47">
        <f t="shared" si="24"/>
        <v>18082.939999999999</v>
      </c>
      <c r="L382" s="47">
        <f t="shared" si="24"/>
        <v>864336.32999999984</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35000</v>
      </c>
      <c r="H389" s="18">
        <v>2868.21</v>
      </c>
      <c r="I389" s="18"/>
      <c r="J389" s="24" t="s">
        <v>288</v>
      </c>
      <c r="K389" s="24" t="s">
        <v>288</v>
      </c>
      <c r="L389" s="56">
        <f t="shared" si="25"/>
        <v>37868.21</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6000</v>
      </c>
      <c r="H392" s="18">
        <v>956.81</v>
      </c>
      <c r="I392" s="18"/>
      <c r="J392" s="24" t="s">
        <v>288</v>
      </c>
      <c r="K392" s="24" t="s">
        <v>288</v>
      </c>
      <c r="L392" s="56">
        <f t="shared" si="25"/>
        <v>6956.8099999999995</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41000</v>
      </c>
      <c r="H393" s="139">
        <f>SUM(H387:H392)</f>
        <v>3825.02</v>
      </c>
      <c r="I393" s="65">
        <f>SUM(I387:I392)</f>
        <v>0</v>
      </c>
      <c r="J393" s="45" t="s">
        <v>288</v>
      </c>
      <c r="K393" s="45" t="s">
        <v>288</v>
      </c>
      <c r="L393" s="47">
        <f>SUM(L387:L392)</f>
        <v>44825.02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3521.02</v>
      </c>
      <c r="I398" s="18"/>
      <c r="J398" s="24" t="s">
        <v>288</v>
      </c>
      <c r="K398" s="24" t="s">
        <v>288</v>
      </c>
      <c r="L398" s="56">
        <f t="shared" si="26"/>
        <v>3521.02</v>
      </c>
      <c r="M398" s="8"/>
      <c r="N398" s="266"/>
    </row>
    <row r="399" spans="1:14" s="3" customFormat="1" ht="12.2" customHeight="1" x14ac:dyDescent="0.15">
      <c r="A399" s="79" t="s">
        <v>559</v>
      </c>
      <c r="B399" s="2" t="s">
        <v>381</v>
      </c>
      <c r="C399" s="6">
        <v>12</v>
      </c>
      <c r="D399" s="2" t="s">
        <v>432</v>
      </c>
      <c r="E399" s="6"/>
      <c r="F399" s="18"/>
      <c r="G399" s="18"/>
      <c r="H399" s="18">
        <v>366.19</v>
      </c>
      <c r="I399" s="18"/>
      <c r="J399" s="24" t="s">
        <v>288</v>
      </c>
      <c r="K399" s="24" t="s">
        <v>288</v>
      </c>
      <c r="L399" s="56">
        <f t="shared" si="26"/>
        <v>366.19</v>
      </c>
      <c r="M399" s="8"/>
      <c r="N399" s="266"/>
    </row>
    <row r="400" spans="1:14" s="3" customFormat="1" ht="12.2" customHeight="1" thickBot="1" x14ac:dyDescent="0.2">
      <c r="A400" s="79" t="s">
        <v>510</v>
      </c>
      <c r="B400" s="2" t="s">
        <v>381</v>
      </c>
      <c r="C400" s="6">
        <v>13</v>
      </c>
      <c r="D400" s="2" t="s">
        <v>432</v>
      </c>
      <c r="E400" s="6"/>
      <c r="F400" s="18"/>
      <c r="G400" s="18"/>
      <c r="H400" s="18">
        <v>231.67</v>
      </c>
      <c r="I400" s="18">
        <v>630</v>
      </c>
      <c r="J400" s="24" t="s">
        <v>288</v>
      </c>
      <c r="K400" s="24" t="s">
        <v>288</v>
      </c>
      <c r="L400" s="56">
        <f t="shared" si="26"/>
        <v>861.67</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4118.88</v>
      </c>
      <c r="I401" s="47">
        <f>SUM(I395:I400)</f>
        <v>630</v>
      </c>
      <c r="J401" s="45" t="s">
        <v>288</v>
      </c>
      <c r="K401" s="45" t="s">
        <v>288</v>
      </c>
      <c r="L401" s="47">
        <f>SUM(L395:L400)</f>
        <v>4748.88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41000</v>
      </c>
      <c r="H408" s="47">
        <f>H393+H401+H407</f>
        <v>7943.9</v>
      </c>
      <c r="I408" s="47">
        <f>I393+I401+I407</f>
        <v>630</v>
      </c>
      <c r="J408" s="24" t="s">
        <v>288</v>
      </c>
      <c r="K408" s="24" t="s">
        <v>288</v>
      </c>
      <c r="L408" s="47">
        <f>L393+L401+L407</f>
        <v>49573.899999999994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145</v>
      </c>
      <c r="I426" s="18"/>
      <c r="J426" s="18"/>
      <c r="K426" s="18"/>
      <c r="L426" s="56">
        <f t="shared" si="29"/>
        <v>145</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145</v>
      </c>
      <c r="I427" s="47">
        <f t="shared" si="30"/>
        <v>0</v>
      </c>
      <c r="J427" s="47">
        <f t="shared" si="30"/>
        <v>0</v>
      </c>
      <c r="K427" s="47">
        <f t="shared" si="30"/>
        <v>0</v>
      </c>
      <c r="L427" s="47">
        <f t="shared" si="30"/>
        <v>145</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145</v>
      </c>
      <c r="I434" s="47">
        <f t="shared" si="32"/>
        <v>0</v>
      </c>
      <c r="J434" s="47">
        <f t="shared" si="32"/>
        <v>0</v>
      </c>
      <c r="K434" s="47">
        <f t="shared" si="32"/>
        <v>0</v>
      </c>
      <c r="L434" s="47">
        <f t="shared" si="32"/>
        <v>145</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205504.64000000001</v>
      </c>
      <c r="G440" s="18">
        <v>186654.02</v>
      </c>
      <c r="H440" s="18"/>
      <c r="I440" s="56">
        <f t="shared" si="33"/>
        <v>392158.66000000003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v>4968.75</v>
      </c>
      <c r="H441" s="18"/>
      <c r="I441" s="56">
        <f t="shared" si="33"/>
        <v>4968.75</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205504.64000000001</v>
      </c>
      <c r="G446" s="13">
        <f>SUM(G439:G445)</f>
        <v>191622.77</v>
      </c>
      <c r="H446" s="13">
        <f>SUM(H439:H445)</f>
        <v>0</v>
      </c>
      <c r="I446" s="13">
        <f>SUM(I439:I445)</f>
        <v>397127.41000000003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205504.64000000001</v>
      </c>
      <c r="G459" s="18">
        <v>191622.77</v>
      </c>
      <c r="H459" s="18"/>
      <c r="I459" s="56">
        <f t="shared" si="34"/>
        <v>397127.41000000003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205504.64000000001</v>
      </c>
      <c r="G460" s="83">
        <f>SUM(G454:G459)</f>
        <v>191622.77</v>
      </c>
      <c r="H460" s="83">
        <f>SUM(H454:H459)</f>
        <v>0</v>
      </c>
      <c r="I460" s="83">
        <f>SUM(I454:I459)</f>
        <v>397127.41000000003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205504.64000000001</v>
      </c>
      <c r="G461" s="42">
        <f>G452+G460</f>
        <v>191622.77</v>
      </c>
      <c r="H461" s="42">
        <f>H452+H460</f>
        <v>0</v>
      </c>
      <c r="I461" s="42">
        <f>I452+I460</f>
        <v>397127.41000000003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262505</v>
      </c>
      <c r="G465" s="18">
        <v>384.69</v>
      </c>
      <c r="H465" s="18">
        <v>0</v>
      </c>
      <c r="I465" s="18">
        <v>-21638.44</v>
      </c>
      <c r="J465" s="18">
        <v>347698.51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3130510.34</v>
      </c>
      <c r="G468" s="18">
        <v>66262.31</v>
      </c>
      <c r="H468" s="18">
        <v>111909.38</v>
      </c>
      <c r="I468" s="18">
        <v>885974.77</v>
      </c>
      <c r="J468" s="18">
        <v>49573.9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3130510.34</v>
      </c>
      <c r="G470" s="53">
        <f>SUM(G468:G469)</f>
        <v>66262.31</v>
      </c>
      <c r="H470" s="53">
        <f>SUM(H468:H469)</f>
        <v>111909.38</v>
      </c>
      <c r="I470" s="53">
        <f>SUM(I468:I469)</f>
        <v>885974.77</v>
      </c>
      <c r="J470" s="53">
        <f>SUM(J468:J469)</f>
        <v>49573.9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3322966.16</v>
      </c>
      <c r="G472" s="18">
        <v>66077</v>
      </c>
      <c r="H472" s="18">
        <v>111909.38</v>
      </c>
      <c r="I472" s="18">
        <v>864336.33</v>
      </c>
      <c r="J472" s="18">
        <v>145</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3322966.16</v>
      </c>
      <c r="G474" s="53">
        <f>SUM(G472:G473)</f>
        <v>66077</v>
      </c>
      <c r="H474" s="53">
        <f>SUM(H472:H473)</f>
        <v>111909.38</v>
      </c>
      <c r="I474" s="53">
        <f>SUM(I472:I473)</f>
        <v>864336.33</v>
      </c>
      <c r="J474" s="53">
        <f>SUM(J472:J473)</f>
        <v>145</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70049.179999999702</v>
      </c>
      <c r="G476" s="53">
        <f>(G465+G470)- G474</f>
        <v>570</v>
      </c>
      <c r="H476" s="53">
        <f>(H465+H470)- H474</f>
        <v>0</v>
      </c>
      <c r="I476" s="53">
        <f>(I465+I470)- I474</f>
        <v>0</v>
      </c>
      <c r="J476" s="53">
        <f>(J465+J470)- J474</f>
        <v>397127.41000000003</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495000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0.02</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0</v>
      </c>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v>495000</v>
      </c>
      <c r="G496" s="18"/>
      <c r="H496" s="18"/>
      <c r="I496" s="18"/>
      <c r="J496" s="18"/>
      <c r="K496" s="53">
        <f t="shared" ref="K496:K503" si="35">SUM(F496:J496)</f>
        <v>495000</v>
      </c>
      <c r="L496" s="24" t="s">
        <v>288</v>
      </c>
      <c r="N496" s="265"/>
    </row>
    <row r="497" spans="1:14" s="52" customFormat="1" ht="12.2" customHeight="1" x14ac:dyDescent="0.2">
      <c r="A497" s="22" t="s">
        <v>621</v>
      </c>
      <c r="B497" s="75">
        <v>20</v>
      </c>
      <c r="C497" s="115">
        <v>8</v>
      </c>
      <c r="D497" s="2" t="s">
        <v>432</v>
      </c>
      <c r="E497" s="115"/>
      <c r="F497" s="18">
        <v>99000</v>
      </c>
      <c r="G497" s="18"/>
      <c r="H497" s="18"/>
      <c r="I497" s="18"/>
      <c r="J497" s="18"/>
      <c r="K497" s="53">
        <f t="shared" si="35"/>
        <v>99000</v>
      </c>
      <c r="L497" s="24" t="s">
        <v>288</v>
      </c>
      <c r="N497" s="265"/>
    </row>
    <row r="498" spans="1:14" s="52" customFormat="1" ht="12.2" customHeight="1" x14ac:dyDescent="0.2">
      <c r="A498" s="200" t="s">
        <v>622</v>
      </c>
      <c r="B498" s="201">
        <v>20</v>
      </c>
      <c r="C498" s="202">
        <v>9</v>
      </c>
      <c r="D498" s="203" t="s">
        <v>432</v>
      </c>
      <c r="E498" s="202"/>
      <c r="F498" s="204">
        <f>F496-F497</f>
        <v>396000</v>
      </c>
      <c r="G498" s="204"/>
      <c r="H498" s="204"/>
      <c r="I498" s="204"/>
      <c r="J498" s="204"/>
      <c r="K498" s="205">
        <f t="shared" si="35"/>
        <v>396000</v>
      </c>
      <c r="L498" s="206" t="s">
        <v>288</v>
      </c>
      <c r="N498" s="265"/>
    </row>
    <row r="499" spans="1:14" s="52" customFormat="1" ht="12.2" customHeight="1" thickBot="1" x14ac:dyDescent="0.25">
      <c r="A499" s="22" t="s">
        <v>623</v>
      </c>
      <c r="B499" s="75">
        <v>20</v>
      </c>
      <c r="C499" s="115">
        <v>10</v>
      </c>
      <c r="D499" s="2" t="s">
        <v>432</v>
      </c>
      <c r="E499" s="115"/>
      <c r="F499" s="18">
        <v>15806</v>
      </c>
      <c r="G499" s="18"/>
      <c r="H499" s="18"/>
      <c r="I499" s="18"/>
      <c r="J499" s="18"/>
      <c r="K499" s="53">
        <f t="shared" si="35"/>
        <v>15806</v>
      </c>
      <c r="L499" s="24" t="s">
        <v>288</v>
      </c>
      <c r="N499" s="265"/>
    </row>
    <row r="500" spans="1:14" s="52" customFormat="1" ht="12.2" customHeight="1" thickTop="1" x14ac:dyDescent="0.2">
      <c r="A500" s="139" t="s">
        <v>624</v>
      </c>
      <c r="B500" s="44">
        <v>20</v>
      </c>
      <c r="C500" s="195">
        <v>11</v>
      </c>
      <c r="D500" s="39" t="s">
        <v>432</v>
      </c>
      <c r="E500" s="195"/>
      <c r="F500" s="42">
        <f>SUM(F498:F499)</f>
        <v>411806</v>
      </c>
      <c r="G500" s="42">
        <f>SUM(G498:G499)</f>
        <v>0</v>
      </c>
      <c r="H500" s="42">
        <f>SUM(H498:H499)</f>
        <v>0</v>
      </c>
      <c r="I500" s="42">
        <f>SUM(I498:I499)</f>
        <v>0</v>
      </c>
      <c r="J500" s="42">
        <f>SUM(J498:J499)</f>
        <v>0</v>
      </c>
      <c r="K500" s="42">
        <f t="shared" si="35"/>
        <v>411806</v>
      </c>
      <c r="L500" s="45" t="s">
        <v>288</v>
      </c>
      <c r="N500" s="265"/>
    </row>
    <row r="501" spans="1:14" s="52" customFormat="1" ht="12.2" customHeight="1" x14ac:dyDescent="0.2">
      <c r="A501" s="200" t="s">
        <v>651</v>
      </c>
      <c r="B501" s="201">
        <v>20</v>
      </c>
      <c r="C501" s="202">
        <v>12</v>
      </c>
      <c r="D501" s="203" t="s">
        <v>432</v>
      </c>
      <c r="E501" s="202"/>
      <c r="F501" s="204">
        <v>99000</v>
      </c>
      <c r="G501" s="204"/>
      <c r="H501" s="204"/>
      <c r="I501" s="204"/>
      <c r="J501" s="204"/>
      <c r="K501" s="205">
        <f t="shared" si="35"/>
        <v>99000</v>
      </c>
      <c r="L501" s="206" t="s">
        <v>288</v>
      </c>
      <c r="N501" s="265"/>
    </row>
    <row r="502" spans="1:14" s="52" customFormat="1" ht="12.2" customHeight="1" thickBot="1" x14ac:dyDescent="0.25">
      <c r="A502" s="22" t="s">
        <v>625</v>
      </c>
      <c r="B502" s="75">
        <v>20</v>
      </c>
      <c r="C502" s="115">
        <v>13</v>
      </c>
      <c r="D502" s="2" t="s">
        <v>432</v>
      </c>
      <c r="E502" s="115"/>
      <c r="F502" s="18">
        <v>6930</v>
      </c>
      <c r="G502" s="18"/>
      <c r="H502" s="18"/>
      <c r="I502" s="18"/>
      <c r="J502" s="18"/>
      <c r="K502" s="53">
        <f t="shared" si="35"/>
        <v>6930</v>
      </c>
      <c r="L502" s="24" t="s">
        <v>288</v>
      </c>
      <c r="N502" s="265"/>
    </row>
    <row r="503" spans="1:14" s="52" customFormat="1" ht="12.2" customHeight="1" thickTop="1" x14ac:dyDescent="0.2">
      <c r="A503" s="139" t="s">
        <v>626</v>
      </c>
      <c r="B503" s="44">
        <v>20</v>
      </c>
      <c r="C503" s="195">
        <v>14</v>
      </c>
      <c r="D503" s="39" t="s">
        <v>432</v>
      </c>
      <c r="E503" s="195"/>
      <c r="F503" s="42">
        <f>SUM(F501:F502)</f>
        <v>105930</v>
      </c>
      <c r="G503" s="42">
        <f>SUM(G501:G502)</f>
        <v>0</v>
      </c>
      <c r="H503" s="42">
        <f>SUM(H501:H502)</f>
        <v>0</v>
      </c>
      <c r="I503" s="42">
        <f>SUM(I501:I502)</f>
        <v>0</v>
      </c>
      <c r="J503" s="42">
        <f>SUM(J501:J502)</f>
        <v>0</v>
      </c>
      <c r="K503" s="42">
        <f t="shared" si="35"/>
        <v>105930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12815</v>
      </c>
      <c r="G507" s="144"/>
      <c r="H507" s="144">
        <v>37</v>
      </c>
      <c r="I507" s="144">
        <f>F507-H507</f>
        <v>12778</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v>33000</v>
      </c>
      <c r="G511" s="24" t="s">
        <v>288</v>
      </c>
      <c r="H511" s="18">
        <v>33000</v>
      </c>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v>2706681</v>
      </c>
      <c r="G513" s="24" t="s">
        <v>288</v>
      </c>
      <c r="H513" s="18">
        <v>3476572</v>
      </c>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v>42855</v>
      </c>
      <c r="G514" s="24" t="s">
        <v>288</v>
      </c>
      <c r="H514" s="18">
        <v>34747</v>
      </c>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2782536</v>
      </c>
      <c r="G517" s="42">
        <f>SUM(G511:G516)</f>
        <v>0</v>
      </c>
      <c r="H517" s="42">
        <f>SUM(H511:H516)</f>
        <v>3544319</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169598.11</v>
      </c>
      <c r="G521" s="18">
        <v>38250.980000000003</v>
      </c>
      <c r="H521" s="18">
        <v>27153.26</v>
      </c>
      <c r="I521" s="18">
        <v>567.95000000000005</v>
      </c>
      <c r="J521" s="18">
        <v>137.32</v>
      </c>
      <c r="K521" s="18"/>
      <c r="L521" s="88">
        <f>SUM(F521:K521)</f>
        <v>235707.62000000002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68850.8</v>
      </c>
      <c r="I523" s="18">
        <v>0</v>
      </c>
      <c r="J523" s="18"/>
      <c r="K523" s="18"/>
      <c r="L523" s="88">
        <f>SUM(F523:K523)</f>
        <v>68850.8</v>
      </c>
      <c r="N523" s="265"/>
    </row>
    <row r="524" spans="1:14" s="52" customFormat="1" ht="12.2" customHeight="1" thickTop="1" x14ac:dyDescent="0.2">
      <c r="A524" s="139" t="s">
        <v>63</v>
      </c>
      <c r="B524" s="107">
        <v>21</v>
      </c>
      <c r="C524" s="195">
        <v>4</v>
      </c>
      <c r="D524" s="196" t="s">
        <v>432</v>
      </c>
      <c r="E524" s="195"/>
      <c r="F524" s="108">
        <f>SUM(F521:F523)</f>
        <v>169598.11</v>
      </c>
      <c r="G524" s="108">
        <f t="shared" ref="G524:L524" si="36">SUM(G521:G523)</f>
        <v>38250.980000000003</v>
      </c>
      <c r="H524" s="108">
        <f t="shared" si="36"/>
        <v>96004.06</v>
      </c>
      <c r="I524" s="108">
        <f t="shared" si="36"/>
        <v>567.95000000000005</v>
      </c>
      <c r="J524" s="108">
        <f t="shared" si="36"/>
        <v>137.32</v>
      </c>
      <c r="K524" s="108">
        <f t="shared" si="36"/>
        <v>0</v>
      </c>
      <c r="L524" s="89">
        <f t="shared" si="36"/>
        <v>304558.42000000004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31125</v>
      </c>
      <c r="G526" s="18">
        <v>2644.29</v>
      </c>
      <c r="H526" s="18">
        <v>96809.94</v>
      </c>
      <c r="I526" s="18">
        <v>3665</v>
      </c>
      <c r="J526" s="18"/>
      <c r="K526" s="18">
        <v>6690</v>
      </c>
      <c r="L526" s="88">
        <f>SUM(F526:K526)</f>
        <v>140934.23000000001</v>
      </c>
      <c r="M526" s="8"/>
      <c r="N526" s="266"/>
    </row>
    <row r="527" spans="1:14" s="3" customFormat="1" ht="12.2" customHeight="1" x14ac:dyDescent="0.15">
      <c r="A527" s="22" t="s">
        <v>634</v>
      </c>
      <c r="B527" s="105">
        <v>21</v>
      </c>
      <c r="C527" s="115">
        <v>6</v>
      </c>
      <c r="D527" s="2" t="s">
        <v>432</v>
      </c>
      <c r="E527" s="115"/>
      <c r="F527" s="18"/>
      <c r="G527" s="18"/>
      <c r="H527" s="18">
        <v>1173.21</v>
      </c>
      <c r="I527" s="18"/>
      <c r="J527" s="18"/>
      <c r="K527" s="18"/>
      <c r="L527" s="88">
        <f>SUM(F527:K527)</f>
        <v>1173.21</v>
      </c>
      <c r="M527" s="8"/>
      <c r="N527" s="266"/>
    </row>
    <row r="528" spans="1:14" s="3" customFormat="1" ht="12.2" customHeight="1" thickBot="1" x14ac:dyDescent="0.2">
      <c r="A528" s="22" t="s">
        <v>635</v>
      </c>
      <c r="B528" s="118">
        <v>21</v>
      </c>
      <c r="C528" s="118">
        <v>7</v>
      </c>
      <c r="D528" s="2" t="s">
        <v>432</v>
      </c>
      <c r="E528" s="118"/>
      <c r="F528" s="18"/>
      <c r="G528" s="18"/>
      <c r="H528" s="18">
        <v>11669.2</v>
      </c>
      <c r="I528" s="18"/>
      <c r="J528" s="18"/>
      <c r="K528" s="18"/>
      <c r="L528" s="88">
        <f>SUM(F528:K528)</f>
        <v>11669.2</v>
      </c>
      <c r="M528" s="8"/>
      <c r="N528" s="266"/>
    </row>
    <row r="529" spans="1:14" s="3" customFormat="1" ht="12.2" customHeight="1" thickTop="1" x14ac:dyDescent="0.15">
      <c r="A529" s="139" t="s">
        <v>65</v>
      </c>
      <c r="B529" s="107">
        <v>21</v>
      </c>
      <c r="C529" s="107">
        <v>8</v>
      </c>
      <c r="D529" s="158" t="s">
        <v>432</v>
      </c>
      <c r="E529" s="107"/>
      <c r="F529" s="89">
        <f>SUM(F526:F528)</f>
        <v>31125</v>
      </c>
      <c r="G529" s="89">
        <f t="shared" ref="G529:L529" si="37">SUM(G526:G528)</f>
        <v>2644.29</v>
      </c>
      <c r="H529" s="89">
        <f t="shared" si="37"/>
        <v>109652.35</v>
      </c>
      <c r="I529" s="89">
        <f t="shared" si="37"/>
        <v>3665</v>
      </c>
      <c r="J529" s="89">
        <f t="shared" si="37"/>
        <v>0</v>
      </c>
      <c r="K529" s="89">
        <f t="shared" si="37"/>
        <v>6690</v>
      </c>
      <c r="L529" s="89">
        <f t="shared" si="37"/>
        <v>153776.64000000001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13620.978435908857</v>
      </c>
      <c r="I531" s="18"/>
      <c r="J531" s="18"/>
      <c r="K531" s="18"/>
      <c r="L531" s="88">
        <f>SUM(F531:K531)</f>
        <v>13620.978435908857</v>
      </c>
      <c r="M531" s="8"/>
      <c r="N531" s="266"/>
    </row>
    <row r="532" spans="1:14" s="3" customFormat="1" ht="12.2" customHeight="1" x14ac:dyDescent="0.15">
      <c r="A532" s="22" t="s">
        <v>634</v>
      </c>
      <c r="B532" s="105">
        <v>21</v>
      </c>
      <c r="C532" s="105">
        <v>10</v>
      </c>
      <c r="D532" s="2" t="s">
        <v>432</v>
      </c>
      <c r="E532" s="105"/>
      <c r="F532" s="18"/>
      <c r="G532" s="18"/>
      <c r="H532" s="18">
        <v>3269.0348246181256</v>
      </c>
      <c r="I532" s="18"/>
      <c r="J532" s="18"/>
      <c r="K532" s="18"/>
      <c r="L532" s="88">
        <f>SUM(F532:K532)</f>
        <v>3269.0348246181256</v>
      </c>
      <c r="M532" s="8"/>
      <c r="N532" s="266"/>
    </row>
    <row r="533" spans="1:14" s="3" customFormat="1" ht="12.2" customHeight="1" thickBot="1" x14ac:dyDescent="0.2">
      <c r="A533" s="22" t="s">
        <v>635</v>
      </c>
      <c r="B533" s="105">
        <v>21</v>
      </c>
      <c r="C533" s="105">
        <v>11</v>
      </c>
      <c r="D533" s="2" t="s">
        <v>432</v>
      </c>
      <c r="E533" s="105"/>
      <c r="F533" s="18"/>
      <c r="G533" s="18"/>
      <c r="H533" s="18">
        <v>4358.7130994908339</v>
      </c>
      <c r="I533" s="18"/>
      <c r="J533" s="18"/>
      <c r="K533" s="18"/>
      <c r="L533" s="88">
        <f>SUM(F533:K533)</f>
        <v>4358.7130994908339</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21248.726360017816</v>
      </c>
      <c r="I534" s="89">
        <f t="shared" si="38"/>
        <v>0</v>
      </c>
      <c r="J534" s="89">
        <f t="shared" si="38"/>
        <v>0</v>
      </c>
      <c r="K534" s="89">
        <f t="shared" si="38"/>
        <v>0</v>
      </c>
      <c r="L534" s="89">
        <f t="shared" si="38"/>
        <v>21248.726360017816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4725</v>
      </c>
      <c r="I541" s="18"/>
      <c r="J541" s="18"/>
      <c r="K541" s="18"/>
      <c r="L541" s="88">
        <f>SUM(F541:K541)</f>
        <v>4725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27877.5</v>
      </c>
      <c r="I543" s="18"/>
      <c r="J543" s="18"/>
      <c r="K543" s="18"/>
      <c r="L543" s="88">
        <f>SUM(F543:K543)</f>
        <v>27877.5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32602.5</v>
      </c>
      <c r="I544" s="193">
        <f t="shared" si="40"/>
        <v>0</v>
      </c>
      <c r="J544" s="193">
        <f t="shared" si="40"/>
        <v>0</v>
      </c>
      <c r="K544" s="193">
        <f t="shared" si="40"/>
        <v>0</v>
      </c>
      <c r="L544" s="193">
        <f t="shared" si="40"/>
        <v>32602.5</v>
      </c>
      <c r="M544" s="8"/>
      <c r="N544" s="266"/>
    </row>
    <row r="545" spans="1:14" s="3" customFormat="1" ht="12.2" customHeight="1" thickTop="1" x14ac:dyDescent="0.15">
      <c r="A545" s="98" t="s">
        <v>72</v>
      </c>
      <c r="B545" s="107">
        <v>21</v>
      </c>
      <c r="C545" s="107">
        <v>21</v>
      </c>
      <c r="D545" s="158" t="s">
        <v>432</v>
      </c>
      <c r="E545" s="107"/>
      <c r="F545" s="89">
        <f>F524+F529+F534+F539+F544</f>
        <v>200723.11</v>
      </c>
      <c r="G545" s="89">
        <f t="shared" ref="G545:L545" si="41">G524+G529+G534+G539+G544</f>
        <v>40895.270000000004</v>
      </c>
      <c r="H545" s="89">
        <f t="shared" si="41"/>
        <v>259507.63636001782</v>
      </c>
      <c r="I545" s="89">
        <f t="shared" si="41"/>
        <v>4232.95</v>
      </c>
      <c r="J545" s="89">
        <f t="shared" si="41"/>
        <v>137.32</v>
      </c>
      <c r="K545" s="89">
        <f t="shared" si="41"/>
        <v>6690</v>
      </c>
      <c r="L545" s="89">
        <f t="shared" si="41"/>
        <v>512186.2863600179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235707.62000000002</v>
      </c>
      <c r="G549" s="87">
        <f>L526</f>
        <v>140934.23000000001</v>
      </c>
      <c r="H549" s="87">
        <f>L531</f>
        <v>13620.978435908857</v>
      </c>
      <c r="I549" s="87">
        <f>L536</f>
        <v>0</v>
      </c>
      <c r="J549" s="87">
        <f>L541</f>
        <v>4725</v>
      </c>
      <c r="K549" s="87">
        <f>SUM(F549:J549)</f>
        <v>394987.82843590889</v>
      </c>
      <c r="L549" s="24" t="s">
        <v>288</v>
      </c>
      <c r="M549" s="8"/>
      <c r="N549" s="266"/>
    </row>
    <row r="550" spans="1:14" s="3" customFormat="1" ht="12.2" customHeight="1" x14ac:dyDescent="0.15">
      <c r="A550" s="22" t="s">
        <v>634</v>
      </c>
      <c r="B550" s="75">
        <v>21</v>
      </c>
      <c r="C550" s="75">
        <v>23</v>
      </c>
      <c r="D550" s="2" t="s">
        <v>432</v>
      </c>
      <c r="E550" s="75"/>
      <c r="F550" s="87">
        <f>L522</f>
        <v>0</v>
      </c>
      <c r="G550" s="87">
        <f>L527</f>
        <v>1173.21</v>
      </c>
      <c r="H550" s="87">
        <f>L532</f>
        <v>3269.0348246181256</v>
      </c>
      <c r="I550" s="87">
        <f>L537</f>
        <v>0</v>
      </c>
      <c r="J550" s="87">
        <f>L542</f>
        <v>0</v>
      </c>
      <c r="K550" s="87">
        <f>SUM(F550:J550)</f>
        <v>4442.2448246181257</v>
      </c>
      <c r="L550" s="24" t="s">
        <v>288</v>
      </c>
      <c r="M550" s="8"/>
      <c r="N550" s="266"/>
    </row>
    <row r="551" spans="1:14" s="3" customFormat="1" ht="12.2" customHeight="1" thickBot="1" x14ac:dyDescent="0.2">
      <c r="A551" s="22" t="s">
        <v>635</v>
      </c>
      <c r="B551" s="75">
        <v>21</v>
      </c>
      <c r="C551" s="75">
        <v>24</v>
      </c>
      <c r="D551" s="2" t="s">
        <v>432</v>
      </c>
      <c r="E551" s="75"/>
      <c r="F551" s="87">
        <f>L523</f>
        <v>68850.8</v>
      </c>
      <c r="G551" s="87">
        <f>L528</f>
        <v>11669.2</v>
      </c>
      <c r="H551" s="87">
        <f>L533</f>
        <v>4358.7130994908339</v>
      </c>
      <c r="I551" s="87">
        <f>L538</f>
        <v>0</v>
      </c>
      <c r="J551" s="87">
        <f>L543</f>
        <v>27877.5</v>
      </c>
      <c r="K551" s="87">
        <f>SUM(F551:J551)</f>
        <v>112756.21309949084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304558.42000000004</v>
      </c>
      <c r="G552" s="89">
        <f t="shared" si="42"/>
        <v>153776.64000000001</v>
      </c>
      <c r="H552" s="89">
        <f t="shared" si="42"/>
        <v>21248.726360017816</v>
      </c>
      <c r="I552" s="89">
        <f t="shared" si="42"/>
        <v>0</v>
      </c>
      <c r="J552" s="89">
        <f t="shared" si="42"/>
        <v>32602.5</v>
      </c>
      <c r="K552" s="89">
        <f t="shared" si="42"/>
        <v>512186.28636001784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477970.11</v>
      </c>
      <c r="H575" s="18">
        <v>876134.85</v>
      </c>
      <c r="I575" s="87">
        <f>SUM(F575:H575)</f>
        <v>1354104.96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v>2194.83</v>
      </c>
      <c r="I578" s="87">
        <f t="shared" si="47"/>
        <v>2194.83</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113675.41</v>
      </c>
      <c r="I591" s="18">
        <v>34241.68</v>
      </c>
      <c r="J591" s="18">
        <v>58012.13</v>
      </c>
      <c r="K591" s="104">
        <f t="shared" ref="K591:K597" si="48">SUM(H591:J591)</f>
        <v>205929.22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4725</v>
      </c>
      <c r="I592" s="18"/>
      <c r="J592" s="18">
        <v>27877.5</v>
      </c>
      <c r="K592" s="104">
        <f t="shared" si="48"/>
        <v>32602.5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2790</v>
      </c>
      <c r="I595" s="18"/>
      <c r="J595" s="18"/>
      <c r="K595" s="104">
        <f t="shared" si="48"/>
        <v>2790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121190.41</v>
      </c>
      <c r="I598" s="108">
        <f>SUM(I591:I597)</f>
        <v>34241.68</v>
      </c>
      <c r="J598" s="108">
        <f>SUM(J591:J597)</f>
        <v>85889.63</v>
      </c>
      <c r="K598" s="108">
        <f>SUM(K591:K597)</f>
        <v>241321.72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28064.02</v>
      </c>
      <c r="I604" s="18"/>
      <c r="J604" s="18"/>
      <c r="K604" s="104">
        <f>SUM(H604:J604)</f>
        <v>28064.02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28064.02</v>
      </c>
      <c r="I605" s="108">
        <f>SUM(I602:I604)</f>
        <v>0</v>
      </c>
      <c r="J605" s="108">
        <f>SUM(J602:J604)</f>
        <v>0</v>
      </c>
      <c r="K605" s="108">
        <f>SUM(K602:K604)</f>
        <v>28064.02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5146.72</v>
      </c>
      <c r="G611" s="18">
        <v>1014.8000000000001</v>
      </c>
      <c r="H611" s="18">
        <v>2196.1799999999998</v>
      </c>
      <c r="I611" s="18"/>
      <c r="J611" s="18"/>
      <c r="K611" s="18"/>
      <c r="L611" s="88">
        <f>SUM(F611:K611)</f>
        <v>8357.7000000000007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v>883.27</v>
      </c>
      <c r="I613" s="18"/>
      <c r="J613" s="18"/>
      <c r="K613" s="18"/>
      <c r="L613" s="88">
        <f>SUM(F613:K613)</f>
        <v>883.27</v>
      </c>
      <c r="M613" s="8"/>
      <c r="N613" s="266"/>
    </row>
    <row r="614" spans="1:14" s="3" customFormat="1" ht="12.2" customHeight="1" thickTop="1" x14ac:dyDescent="0.15">
      <c r="A614" s="98" t="s">
        <v>340</v>
      </c>
      <c r="B614" s="107">
        <v>23</v>
      </c>
      <c r="C614" s="107">
        <v>16</v>
      </c>
      <c r="D614" s="39" t="s">
        <v>432</v>
      </c>
      <c r="E614" s="107"/>
      <c r="F614" s="108">
        <f t="shared" ref="F614:L614" si="49">SUM(F611:F613)</f>
        <v>5146.72</v>
      </c>
      <c r="G614" s="108">
        <f t="shared" si="49"/>
        <v>1014.8000000000001</v>
      </c>
      <c r="H614" s="108">
        <f t="shared" si="49"/>
        <v>3079.45</v>
      </c>
      <c r="I614" s="108">
        <f t="shared" si="49"/>
        <v>0</v>
      </c>
      <c r="J614" s="108">
        <f t="shared" si="49"/>
        <v>0</v>
      </c>
      <c r="K614" s="108">
        <f t="shared" si="49"/>
        <v>0</v>
      </c>
      <c r="L614" s="89">
        <f t="shared" si="49"/>
        <v>9240.9700000000012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801024.21</v>
      </c>
      <c r="H617" s="109">
        <f>SUM(F52)</f>
        <v>801024.21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7728.65</v>
      </c>
      <c r="H618" s="109">
        <f>SUM(G52)</f>
        <v>7728.65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50753.21</v>
      </c>
      <c r="H619" s="109">
        <f>SUM(H52)</f>
        <v>50753.210000000006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397127.41000000003</v>
      </c>
      <c r="H621" s="109">
        <f>SUM(J52)</f>
        <v>397127.41000000003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70049.179999999993</v>
      </c>
      <c r="H622" s="109">
        <f>F476</f>
        <v>70049.179999999702</v>
      </c>
      <c r="I622" s="121" t="s">
        <v>101</v>
      </c>
      <c r="J622" s="109">
        <f t="shared" ref="J622:J655" si="50">G622-H622</f>
        <v>2.9103830456733704E-10</v>
      </c>
      <c r="K622" s="109"/>
      <c r="L622" s="109"/>
      <c r="M622" s="8"/>
    </row>
    <row r="623" spans="1:14" s="3" customFormat="1" ht="12.2" customHeight="1" x14ac:dyDescent="0.15">
      <c r="A623" s="97"/>
      <c r="B623" s="105"/>
      <c r="C623" s="119"/>
      <c r="D623" s="119"/>
      <c r="E623" s="119"/>
      <c r="F623" s="119" t="s">
        <v>866</v>
      </c>
      <c r="G623" s="109">
        <f>G51</f>
        <v>570</v>
      </c>
      <c r="H623" s="109">
        <f>G476</f>
        <v>570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397127.41000000003</v>
      </c>
      <c r="H626" s="109">
        <f>J476</f>
        <v>397127.41000000003</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3130510.34</v>
      </c>
      <c r="H627" s="104">
        <f>SUM(F468)</f>
        <v>3130510.34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66262.31</v>
      </c>
      <c r="H628" s="104">
        <f>SUM(G468)</f>
        <v>66262.31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111909.38</v>
      </c>
      <c r="H629" s="104">
        <f>SUM(H468)</f>
        <v>111909.38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885974.77</v>
      </c>
      <c r="H630" s="104">
        <f>SUM(I468)</f>
        <v>885974.77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49573.9</v>
      </c>
      <c r="H631" s="104">
        <f>SUM(J468)</f>
        <v>49573.9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3322966.1599999992</v>
      </c>
      <c r="H632" s="104">
        <f>SUM(F472)</f>
        <v>3322966.16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111909.38</v>
      </c>
      <c r="H633" s="104">
        <f>SUM(H472)</f>
        <v>111909.38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4263</v>
      </c>
      <c r="H634" s="104">
        <f>I369</f>
        <v>4263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66077</v>
      </c>
      <c r="H635" s="104">
        <f>SUM(G472)</f>
        <v>66077</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864336.32999999984</v>
      </c>
      <c r="H636" s="104">
        <f>SUM(I472)</f>
        <v>864336.33</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49573.899999999994</v>
      </c>
      <c r="H637" s="164">
        <f>SUM(J468)</f>
        <v>49573.9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145</v>
      </c>
      <c r="H638" s="164">
        <f>SUM(J472)</f>
        <v>145</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205504.64000000001</v>
      </c>
      <c r="H639" s="104">
        <f>SUM(F461)</f>
        <v>205504.64000000001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191622.77</v>
      </c>
      <c r="H640" s="104">
        <f>SUM(G461)</f>
        <v>191622.77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397127.41000000003</v>
      </c>
      <c r="H642" s="104">
        <f>SUM(I461)</f>
        <v>397127.41000000003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7943.9</v>
      </c>
      <c r="H644" s="104">
        <f>H408</f>
        <v>7943.9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41000</v>
      </c>
      <c r="H645" s="104">
        <f>G408</f>
        <v>41000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49573.9</v>
      </c>
      <c r="H646" s="104">
        <f>L408</f>
        <v>49573.899999999994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241321.72</v>
      </c>
      <c r="H647" s="104">
        <f>L208+L226+L244</f>
        <v>241321.72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28064.02</v>
      </c>
      <c r="H648" s="104">
        <f>(J257+J338)-(J255+J336)</f>
        <v>28064.02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121190.40647052543</v>
      </c>
      <c r="H649" s="104">
        <f>H598</f>
        <v>121190.41</v>
      </c>
      <c r="I649" s="140" t="s">
        <v>388</v>
      </c>
      <c r="J649" s="109">
        <f t="shared" si="50"/>
        <v>-3.5294745757710189E-3</v>
      </c>
      <c r="K649" s="85"/>
      <c r="L649" s="88"/>
      <c r="M649" s="8"/>
    </row>
    <row r="650" spans="1:13" s="3" customFormat="1" ht="12.2" customHeight="1" x14ac:dyDescent="0.15">
      <c r="A650" s="22"/>
      <c r="B650" s="105"/>
      <c r="C650" s="105"/>
      <c r="D650" s="105"/>
      <c r="E650" s="105"/>
      <c r="F650" s="120" t="s">
        <v>392</v>
      </c>
      <c r="G650" s="109">
        <f>L226</f>
        <v>34241.680580948312</v>
      </c>
      <c r="H650" s="104">
        <f>I598</f>
        <v>34241.68</v>
      </c>
      <c r="I650" s="140" t="s">
        <v>389</v>
      </c>
      <c r="J650" s="109">
        <f t="shared" si="50"/>
        <v>5.8094831183552742E-4</v>
      </c>
      <c r="K650" s="85"/>
      <c r="L650" s="88"/>
      <c r="M650" s="8"/>
    </row>
    <row r="651" spans="1:13" s="3" customFormat="1" ht="12.2" customHeight="1" x14ac:dyDescent="0.15">
      <c r="A651" s="22"/>
      <c r="B651" s="105"/>
      <c r="C651" s="105"/>
      <c r="D651" s="105"/>
      <c r="E651" s="105"/>
      <c r="F651" s="120" t="s">
        <v>393</v>
      </c>
      <c r="G651" s="109">
        <f>L244</f>
        <v>85889.632948526269</v>
      </c>
      <c r="H651" s="104">
        <f>J598</f>
        <v>85889.63</v>
      </c>
      <c r="I651" s="140" t="s">
        <v>390</v>
      </c>
      <c r="J651" s="109">
        <f t="shared" si="50"/>
        <v>2.9485262639354914E-3</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41000</v>
      </c>
      <c r="H655" s="104">
        <f>K266+K347</f>
        <v>41000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1721769.1352589664</v>
      </c>
      <c r="G660" s="19">
        <f>(L229+L309+L359)</f>
        <v>538929.44881854428</v>
      </c>
      <c r="H660" s="19">
        <f>(L247+L328+L360)</f>
        <v>1085821.7959224889</v>
      </c>
      <c r="I660" s="19">
        <f>SUM(F660:H660)</f>
        <v>3346520.3799999994</v>
      </c>
      <c r="J660" s="13"/>
      <c r="K660" s="13"/>
      <c r="L660" s="13"/>
      <c r="M660" s="9"/>
    </row>
    <row r="661" spans="1:13" s="3" customFormat="1" ht="12.2" customHeight="1" x14ac:dyDescent="0.2">
      <c r="A661" s="1" t="s">
        <v>127</v>
      </c>
      <c r="F661" s="19">
        <f>(L358/IF(SUM(L358:L360)=0,1,SUM(L358:L360))*(SUM(G97:G110)))</f>
        <v>20269.29</v>
      </c>
      <c r="G661" s="19">
        <f>(L359/IF(SUM(L358:L360)=0,1,SUM(L358:L360))*(SUM(G97:G110)))</f>
        <v>0</v>
      </c>
      <c r="H661" s="19">
        <f>(L360/IF(SUM(L358:L360)=0,1,SUM(L358:L360))*(SUM(G97:G110)))</f>
        <v>0</v>
      </c>
      <c r="I661" s="19">
        <f>SUM(F661:H661)</f>
        <v>20269.29</v>
      </c>
      <c r="J661"/>
      <c r="K661" s="13"/>
      <c r="L661" s="13"/>
      <c r="M661" s="9"/>
    </row>
    <row r="662" spans="1:13" s="3" customFormat="1" ht="12.2" customHeight="1" x14ac:dyDescent="0.2">
      <c r="A662" s="1" t="s">
        <v>128</v>
      </c>
      <c r="F662" s="19">
        <f>(L208+L287)-(J208+J287)</f>
        <v>121190.40647052543</v>
      </c>
      <c r="G662" s="19">
        <f>(L226+L306)-(J226+J306)</f>
        <v>34241.680580948312</v>
      </c>
      <c r="H662" s="19">
        <f>(L244+L325)-(J244+J325)</f>
        <v>85889.632948526269</v>
      </c>
      <c r="I662" s="19">
        <f>SUM(F662:H662)</f>
        <v>241321.72</v>
      </c>
      <c r="J662"/>
      <c r="K662" s="13"/>
      <c r="L662" s="13"/>
      <c r="M662" s="8"/>
    </row>
    <row r="663" spans="1:13" s="3" customFormat="1" ht="12.2" customHeight="1" x14ac:dyDescent="0.15">
      <c r="A663" s="198" t="s">
        <v>129</v>
      </c>
      <c r="B663" s="169"/>
      <c r="C663" s="169"/>
      <c r="D663" s="169"/>
      <c r="E663" s="169"/>
      <c r="F663" s="199">
        <f>SUM(F575:F587)+SUM(H602:H604)+SUM(L611)</f>
        <v>36421.72</v>
      </c>
      <c r="G663" s="199">
        <f>SUM(G575:G587)+SUM(I602:I604)+L612</f>
        <v>477970.11</v>
      </c>
      <c r="H663" s="199">
        <f>SUM(H575:H587)+SUM(J602:J604)+L613</f>
        <v>879212.95</v>
      </c>
      <c r="I663" s="19">
        <f>SUM(F663:H663)</f>
        <v>1393604.7799999998</v>
      </c>
      <c r="J663" s="13"/>
      <c r="K663" s="13"/>
      <c r="L663" s="13"/>
      <c r="M663" s="9"/>
    </row>
    <row r="664" spans="1:13" s="3" customFormat="1" ht="12.2" customHeight="1" x14ac:dyDescent="0.15">
      <c r="A664" s="1" t="s">
        <v>130</v>
      </c>
      <c r="F664" s="19">
        <f>F660-SUM(F661:F663)</f>
        <v>1543887.7187884408</v>
      </c>
      <c r="G664" s="19">
        <f>G660-SUM(G661:G663)</f>
        <v>26717.658237595984</v>
      </c>
      <c r="H664" s="19">
        <f>H660-SUM(H661:H663)</f>
        <v>120719.21297396265</v>
      </c>
      <c r="I664" s="19">
        <f>I660-SUM(I661:I663)</f>
        <v>1691324.5899999996</v>
      </c>
      <c r="J664" s="13"/>
      <c r="K664" s="13"/>
      <c r="L664" s="13"/>
      <c r="M664" s="9"/>
    </row>
    <row r="665" spans="1:13" s="3" customFormat="1" ht="12.2" customHeight="1" x14ac:dyDescent="0.2">
      <c r="A665" s="1" t="s">
        <v>131</v>
      </c>
      <c r="F665" s="246">
        <v>114.84</v>
      </c>
      <c r="G665" s="247"/>
      <c r="H665" s="247"/>
      <c r="I665" s="19">
        <f>SUM(F665:H665)</f>
        <v>114.84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13443.82</v>
      </c>
      <c r="G667" s="19" t="e">
        <f>ROUND(G664/G665,2)</f>
        <v>#DIV/0!</v>
      </c>
      <c r="H667" s="19" t="e">
        <f>ROUND(H664/H665,2)</f>
        <v>#DIV/0!</v>
      </c>
      <c r="I667" s="19">
        <f>ROUND(I664/I665,2)</f>
        <v>14727.66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-26717.66</v>
      </c>
      <c r="H669" s="18">
        <v>-120719.21</v>
      </c>
      <c r="I669" s="19">
        <f>SUM(F669:H669)</f>
        <v>-147436.87</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13443.82</v>
      </c>
      <c r="G672" s="19" t="e">
        <f>ROUND((G664+G669)/(G665+G670),2)</f>
        <v>#DIV/0!</v>
      </c>
      <c r="H672" s="19" t="e">
        <f>ROUND((H664+H669)/(H665+H670),2)</f>
        <v>#DIV/0!</v>
      </c>
      <c r="I672" s="19">
        <f>ROUND((I664+I669)/(I665+I670),2)</f>
        <v>13443.82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D42" sqref="D4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Milan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367240.85</v>
      </c>
      <c r="C9" s="229">
        <f>'DOE25'!G197+'DOE25'!G215+'DOE25'!G233+'DOE25'!G276+'DOE25'!G295+'DOE25'!G314</f>
        <v>186277.26</v>
      </c>
    </row>
    <row r="10" spans="1:3" x14ac:dyDescent="0.2">
      <c r="A10" t="s">
        <v>775</v>
      </c>
      <c r="B10" s="240">
        <v>363729.9</v>
      </c>
      <c r="C10" s="240">
        <v>185557.35</v>
      </c>
    </row>
    <row r="11" spans="1:3" x14ac:dyDescent="0.2">
      <c r="A11" t="s">
        <v>776</v>
      </c>
      <c r="B11" s="240"/>
      <c r="C11" s="240"/>
    </row>
    <row r="12" spans="1:3" x14ac:dyDescent="0.2">
      <c r="A12" t="s">
        <v>777</v>
      </c>
      <c r="B12" s="240">
        <v>3510.95</v>
      </c>
      <c r="C12" s="240">
        <v>719.91</v>
      </c>
    </row>
    <row r="13" spans="1:3" x14ac:dyDescent="0.2">
      <c r="A13" t="str">
        <f>IF(B9=B13,IF(C9=C13,"Check Total OK","Check Total Error"),"Check Total Error")</f>
        <v>Check Total OK</v>
      </c>
      <c r="B13" s="231">
        <f>SUM(B10:B12)</f>
        <v>367240.85000000003</v>
      </c>
      <c r="C13" s="231">
        <f>SUM(C10:C12)</f>
        <v>186277.26</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164451.39000000001</v>
      </c>
      <c r="C18" s="229">
        <f>'DOE25'!G198+'DOE25'!G216+'DOE25'!G234+'DOE25'!G277+'DOE25'!G296+'DOE25'!G315</f>
        <v>37236.180000000008</v>
      </c>
    </row>
    <row r="19" spans="1:3" x14ac:dyDescent="0.2">
      <c r="A19" t="s">
        <v>775</v>
      </c>
      <c r="B19" s="240">
        <v>50693.5</v>
      </c>
      <c r="C19" s="240">
        <v>27699.999781613384</v>
      </c>
    </row>
    <row r="20" spans="1:3" x14ac:dyDescent="0.2">
      <c r="A20" t="s">
        <v>776</v>
      </c>
      <c r="B20" s="240">
        <v>109815.11</v>
      </c>
      <c r="C20" s="240">
        <v>9099.8466920575829</v>
      </c>
    </row>
    <row r="21" spans="1:3" x14ac:dyDescent="0.2">
      <c r="A21" t="s">
        <v>777</v>
      </c>
      <c r="B21" s="240">
        <v>3942.78</v>
      </c>
      <c r="C21" s="240">
        <v>436.33352632903438</v>
      </c>
    </row>
    <row r="22" spans="1:3" x14ac:dyDescent="0.2">
      <c r="A22" t="str">
        <f>IF(B18=B22,IF(C18=C22,"Check Total OK","Check Total Error"),"Check Total Error")</f>
        <v>Check Total OK</v>
      </c>
      <c r="B22" s="231">
        <f>SUM(B19:B21)</f>
        <v>164451.38999999998</v>
      </c>
      <c r="C22" s="231">
        <f>SUM(C19:C21)</f>
        <v>37236.18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8165.1200000000008</v>
      </c>
      <c r="C36" s="235">
        <f>'DOE25'!G200+'DOE25'!G218+'DOE25'!G236+'DOE25'!G279+'DOE25'!G298+'DOE25'!G317</f>
        <v>1555.88</v>
      </c>
    </row>
    <row r="37" spans="1:3" x14ac:dyDescent="0.2">
      <c r="A37" t="s">
        <v>775</v>
      </c>
      <c r="B37" s="240">
        <v>6335.84</v>
      </c>
      <c r="C37" s="240">
        <v>1409.6558730318231</v>
      </c>
    </row>
    <row r="38" spans="1:3" x14ac:dyDescent="0.2">
      <c r="A38" t="s">
        <v>776</v>
      </c>
      <c r="B38" s="240">
        <v>1829.28</v>
      </c>
      <c r="C38" s="240">
        <v>146.22412696817685</v>
      </c>
    </row>
    <row r="39" spans="1:3" x14ac:dyDescent="0.2">
      <c r="A39" t="s">
        <v>777</v>
      </c>
      <c r="B39" s="240"/>
      <c r="C39" s="240"/>
    </row>
    <row r="40" spans="1:3" x14ac:dyDescent="0.2">
      <c r="A40" t="str">
        <f>IF(B36=B40,IF(C36=C40,"Check Total OK","Check Total Error"),"Check Total Error")</f>
        <v>Check Total OK</v>
      </c>
      <c r="B40" s="231">
        <f>SUM(B37:B39)</f>
        <v>8165.12</v>
      </c>
      <c r="C40" s="231">
        <f>SUM(C37:C39)</f>
        <v>1555.88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Milan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2165436.59</v>
      </c>
      <c r="D5" s="20">
        <f>SUM('DOE25'!L197:L200)+SUM('DOE25'!L215:L218)+SUM('DOE25'!L233:L236)-F5-G5-H5</f>
        <v>2152343.9299999997</v>
      </c>
      <c r="E5" s="243"/>
      <c r="F5" s="244"/>
      <c r="G5" s="53">
        <f>SUM('DOE25'!J197:J200)+SUM('DOE25'!J215:J218)+SUM('DOE25'!J233:J236)</f>
        <v>13092.66</v>
      </c>
      <c r="H5" s="53">
        <f>SUM('DOE25'!K197:K200)+SUM('DOE25'!K215:K218)+SUM('DOE25'!K233:K236)</f>
        <v>0</v>
      </c>
      <c r="I5" s="256"/>
    </row>
    <row r="6" spans="1:9" x14ac:dyDescent="0.2">
      <c r="A6" s="32">
        <v>2100</v>
      </c>
      <c r="B6" t="s">
        <v>796</v>
      </c>
      <c r="C6" s="276">
        <f t="shared" si="0"/>
        <v>238565.25</v>
      </c>
      <c r="D6" s="20">
        <f>'DOE25'!L202+'DOE25'!L220+'DOE25'!L238-F6-G6-H6</f>
        <v>217528.05</v>
      </c>
      <c r="E6" s="243"/>
      <c r="F6" s="244">
        <v>13989.2</v>
      </c>
      <c r="G6" s="53">
        <f>'DOE25'!J202+'DOE25'!J220+'DOE25'!J238</f>
        <v>139</v>
      </c>
      <c r="H6" s="53">
        <f>'DOE25'!K202+'DOE25'!K220+'DOE25'!K238</f>
        <v>6909</v>
      </c>
      <c r="I6" s="256"/>
    </row>
    <row r="7" spans="1:9" x14ac:dyDescent="0.2">
      <c r="A7" s="32">
        <v>2200</v>
      </c>
      <c r="B7" t="s">
        <v>821</v>
      </c>
      <c r="C7" s="276">
        <f t="shared" si="0"/>
        <v>40704.07</v>
      </c>
      <c r="D7" s="20">
        <f>'DOE25'!L203+'DOE25'!L221+'DOE25'!L239-F7-G7-H7</f>
        <v>35170.97</v>
      </c>
      <c r="E7" s="243"/>
      <c r="F7" s="244"/>
      <c r="G7" s="53">
        <f>'DOE25'!J203+'DOE25'!J221+'DOE25'!J239</f>
        <v>5533.1</v>
      </c>
      <c r="H7" s="53">
        <f>'DOE25'!K203+'DOE25'!K221+'DOE25'!K239</f>
        <v>0</v>
      </c>
      <c r="I7" s="256"/>
    </row>
    <row r="8" spans="1:9" x14ac:dyDescent="0.2">
      <c r="A8" s="32">
        <v>2300</v>
      </c>
      <c r="B8" t="s">
        <v>797</v>
      </c>
      <c r="C8" s="276">
        <f t="shared" si="0"/>
        <v>127116.65000000005</v>
      </c>
      <c r="D8" s="243"/>
      <c r="E8" s="20">
        <f>'DOE25'!L204+'DOE25'!L222+'DOE25'!L240-F8-G8-H8-D9-D11</f>
        <v>124166.74000000005</v>
      </c>
      <c r="F8" s="244"/>
      <c r="G8" s="53">
        <f>'DOE25'!J204+'DOE25'!J222+'DOE25'!J240</f>
        <v>47.490000000000009</v>
      </c>
      <c r="H8" s="53">
        <f>'DOE25'!K204+'DOE25'!K222+'DOE25'!K240</f>
        <v>2902.4200000000005</v>
      </c>
      <c r="I8" s="256"/>
    </row>
    <row r="9" spans="1:9" ht="14.25" x14ac:dyDescent="0.2">
      <c r="A9" s="32">
        <v>2310</v>
      </c>
      <c r="B9" s="185" t="s">
        <v>890</v>
      </c>
      <c r="C9" s="276">
        <f t="shared" si="0"/>
        <v>7032.77</v>
      </c>
      <c r="D9" s="244">
        <v>7032.77</v>
      </c>
      <c r="E9" s="243"/>
      <c r="F9" s="253"/>
      <c r="G9" s="253"/>
      <c r="H9" s="253"/>
      <c r="I9" s="256"/>
    </row>
    <row r="10" spans="1:9" ht="14.25" x14ac:dyDescent="0.2">
      <c r="A10" s="32">
        <v>2317</v>
      </c>
      <c r="B10" s="185" t="s">
        <v>891</v>
      </c>
      <c r="C10" s="276">
        <f t="shared" si="0"/>
        <v>5294.67</v>
      </c>
      <c r="D10" s="243"/>
      <c r="E10" s="244">
        <v>5294.67</v>
      </c>
      <c r="F10" s="253"/>
      <c r="G10" s="253"/>
      <c r="H10" s="253"/>
      <c r="I10" s="256"/>
    </row>
    <row r="11" spans="1:9" ht="14.25" x14ac:dyDescent="0.2">
      <c r="A11" s="32">
        <v>2321</v>
      </c>
      <c r="B11" s="185" t="s">
        <v>892</v>
      </c>
      <c r="C11" s="276">
        <f t="shared" si="0"/>
        <v>28215.85</v>
      </c>
      <c r="D11" s="244">
        <v>28215.85</v>
      </c>
      <c r="E11" s="243"/>
      <c r="F11" s="253"/>
      <c r="G11" s="253"/>
      <c r="H11" s="253"/>
      <c r="I11" s="256"/>
    </row>
    <row r="12" spans="1:9" x14ac:dyDescent="0.2">
      <c r="A12" s="32">
        <v>2400</v>
      </c>
      <c r="B12" t="s">
        <v>711</v>
      </c>
      <c r="C12" s="276">
        <f t="shared" si="0"/>
        <v>137476.24999999997</v>
      </c>
      <c r="D12" s="20">
        <f>'DOE25'!L205+'DOE25'!L223+'DOE25'!L241-F12-G12-H12</f>
        <v>134906.35999999996</v>
      </c>
      <c r="E12" s="243"/>
      <c r="F12" s="244"/>
      <c r="G12" s="53">
        <f>'DOE25'!J205+'DOE25'!J223+'DOE25'!J241</f>
        <v>0</v>
      </c>
      <c r="H12" s="53">
        <f>'DOE25'!K205+'DOE25'!K223+'DOE25'!K241</f>
        <v>2569.8900000000003</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185057.38999999998</v>
      </c>
      <c r="D14" s="20">
        <f>'DOE25'!L207+'DOE25'!L225+'DOE25'!L243-F14-G14-H14</f>
        <v>182572.79999999999</v>
      </c>
      <c r="E14" s="243"/>
      <c r="F14" s="244"/>
      <c r="G14" s="53">
        <f>'DOE25'!J207+'DOE25'!J225+'DOE25'!J243</f>
        <v>2484.59</v>
      </c>
      <c r="H14" s="53">
        <f>'DOE25'!K207+'DOE25'!K225+'DOE25'!K243</f>
        <v>0</v>
      </c>
      <c r="I14" s="256"/>
    </row>
    <row r="15" spans="1:9" x14ac:dyDescent="0.2">
      <c r="A15" s="32">
        <v>2700</v>
      </c>
      <c r="B15" t="s">
        <v>799</v>
      </c>
      <c r="C15" s="276">
        <f t="shared" si="0"/>
        <v>241321.72</v>
      </c>
      <c r="D15" s="20">
        <f>'DOE25'!L208+'DOE25'!L226+'DOE25'!L244-F15-G15-H15</f>
        <v>43386.44</v>
      </c>
      <c r="E15" s="243"/>
      <c r="F15" s="244">
        <v>197935.28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6508.57</v>
      </c>
      <c r="D19" s="20">
        <f>'DOE25'!L253-F19-G19-H19</f>
        <v>6193.57</v>
      </c>
      <c r="E19" s="243"/>
      <c r="F19" s="244"/>
      <c r="G19" s="53">
        <f>'DOE25'!J253</f>
        <v>0</v>
      </c>
      <c r="H19" s="53">
        <f>'DOE25'!K253</f>
        <v>315</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680</v>
      </c>
      <c r="D22" s="243"/>
      <c r="E22" s="243"/>
      <c r="F22" s="243"/>
      <c r="G22" s="53">
        <f>'DOE25'!L255+'DOE25'!L336</f>
        <v>680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103851.05</v>
      </c>
      <c r="D25" s="243"/>
      <c r="E25" s="243"/>
      <c r="F25" s="255"/>
      <c r="G25" s="253"/>
      <c r="H25" s="253"/>
      <c r="I25" s="254">
        <f>'DOE25'!L260+'DOE25'!L261+'DOE25'!L341+'DOE25'!L342</f>
        <v>103851.05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61814</v>
      </c>
      <c r="D29" s="284">
        <f>'DOE25'!L358+'DOE25'!L359+'DOE25'!L360-'DOE25'!I367-F29-G29-H29</f>
        <v>25000</v>
      </c>
      <c r="E29" s="243"/>
      <c r="F29" s="244">
        <v>36814</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109516.84</v>
      </c>
      <c r="D31" s="20">
        <f>'DOE25'!L290+'DOE25'!L309+'DOE25'!L328+'DOE25'!L333+'DOE25'!L334+'DOE25'!L335-F31-G31-H31</f>
        <v>102749.66</v>
      </c>
      <c r="E31" s="243"/>
      <c r="F31" s="244"/>
      <c r="G31" s="53">
        <f>'DOE25'!J290+'DOE25'!J309+'DOE25'!J328+'DOE25'!J333+'DOE25'!J334+'DOE25'!J335</f>
        <v>6767.18</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2935100.3999999994</v>
      </c>
      <c r="E33" s="245">
        <f t="shared" si="1"/>
        <v>129461.41000000005</v>
      </c>
      <c r="F33" s="245">
        <f t="shared" si="1"/>
        <v>248738.48</v>
      </c>
      <c r="G33" s="245">
        <f t="shared" si="1"/>
        <v>28744.020000000004</v>
      </c>
      <c r="H33" s="245">
        <f t="shared" si="1"/>
        <v>12696.310000000001</v>
      </c>
      <c r="I33" s="245">
        <f t="shared" si="1"/>
        <v>103851.05</v>
      </c>
    </row>
    <row r="35" spans="1:9" ht="12" thickBot="1" x14ac:dyDescent="0.25">
      <c r="B35" s="251" t="s">
        <v>831</v>
      </c>
      <c r="D35" s="252">
        <f>E33</f>
        <v>129461.41000000005</v>
      </c>
      <c r="E35" s="248"/>
    </row>
    <row r="36" spans="1:9" ht="12" thickTop="1" x14ac:dyDescent="0.2">
      <c r="B36" t="s">
        <v>810</v>
      </c>
      <c r="D36" s="20">
        <f>D33</f>
        <v>2935100.3999999994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20" zoomScaleNormal="120" workbookViewId="0">
      <selection activeCell="B13" sqref="B13"/>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Milan</v>
      </c>
      <c r="B2" s="126">
        <f>'DOE25'!B2</f>
        <v>355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1655692.1400000001</v>
      </c>
      <c r="G4" s="303">
        <f>'DOE25'!L211+'DOE25'!L290</f>
        <v>1655692.1352589664</v>
      </c>
      <c r="H4" s="304">
        <f>F4-G4</f>
        <v>4.7410337720066309E-3</v>
      </c>
      <c r="I4" s="310" t="str">
        <f>IF(H4=0,"","Does not match DOE25 page 7 and 11 Totals!!")</f>
        <v>Does not match DOE25 page 7 and 11 Totals!!</v>
      </c>
      <c r="N4"/>
    </row>
    <row r="5" spans="1:18" x14ac:dyDescent="0.2">
      <c r="A5" s="21" t="s">
        <v>1282</v>
      </c>
      <c r="B5" s="305">
        <f>IFERROR(VLOOKUP(A5,'School Tables'!$C$3:$D$368,2,FALSE),"")</f>
        <v>20760</v>
      </c>
      <c r="C5" s="297" t="str">
        <f>IFERROR(INDEX('School Tables'!$B$3:$B$368,MATCH('School Level Expenditures'!B5,'School Tables'!$D$3:$D$368,0)),"")</f>
        <v>Milan</v>
      </c>
      <c r="D5" s="294">
        <v>1577642.85</v>
      </c>
      <c r="E5" s="294">
        <v>78049.289999999994</v>
      </c>
      <c r="F5" s="313">
        <f>D5+E5</f>
        <v>1655692.1400000001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538929.44999999995</v>
      </c>
      <c r="G24" s="303">
        <f>'DOE25'!L229+'DOE25'!L309</f>
        <v>538929.44881854428</v>
      </c>
      <c r="H24" s="304">
        <f>F24-G24</f>
        <v>1.18145567830652E-3</v>
      </c>
      <c r="I24" s="310" t="str">
        <f>IF(H24=0,"","Does not match DOE25 page 8 and 12 Totals!!")</f>
        <v>Does not match DOE25 page 8 and 12 Totals!!</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538929.44999999995</v>
      </c>
      <c r="E25" s="294"/>
      <c r="F25" s="308">
        <f>D25+E25</f>
        <v>538929.44999999995</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23.2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1085821.8</v>
      </c>
      <c r="G36" s="303">
        <f>'DOE25'!L247+'DOE25'!L328</f>
        <v>1085821.7959224889</v>
      </c>
      <c r="H36" s="304">
        <f>F36-G36</f>
        <v>4.077511141076684E-3</v>
      </c>
      <c r="I36" s="310" t="str">
        <f>IF(H36=0,"","Does not match DOE25 page 9 and 13 Totals!!")</f>
        <v>Does not match DOE25 page 9 and 13 Totals!!</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1079712.05</v>
      </c>
      <c r="E37" s="294">
        <v>6109.75</v>
      </c>
      <c r="F37" s="308">
        <f>D37+E37</f>
        <v>1085821.8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Milan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147300.34</v>
      </c>
      <c r="D8" s="95">
        <f>'DOE25'!G9</f>
        <v>0</v>
      </c>
      <c r="E8" s="95">
        <f>'DOE25'!H9</f>
        <v>0</v>
      </c>
      <c r="F8" s="95">
        <f>'DOE25'!I9</f>
        <v>0</v>
      </c>
      <c r="G8" s="95">
        <f>'DOE25'!J9</f>
        <v>0</v>
      </c>
      <c r="H8" s="124"/>
      <c r="I8" s="124"/>
    </row>
    <row r="9" spans="1:9" x14ac:dyDescent="0.2">
      <c r="A9" s="1" t="s">
        <v>140</v>
      </c>
      <c r="B9" s="6">
        <v>110</v>
      </c>
      <c r="C9" s="95">
        <f>'DOE25'!F10</f>
        <v>529651.5</v>
      </c>
      <c r="D9" s="95">
        <f>'DOE25'!G10</f>
        <v>0</v>
      </c>
      <c r="E9" s="95">
        <f>'DOE25'!H10</f>
        <v>0</v>
      </c>
      <c r="F9" s="95">
        <f>'DOE25'!I10</f>
        <v>0</v>
      </c>
      <c r="G9" s="95">
        <f>'DOE25'!J10</f>
        <v>392158.66000000003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35313.26</v>
      </c>
      <c r="D11" s="95">
        <f>'DOE25'!G12</f>
        <v>687.77</v>
      </c>
      <c r="E11" s="95">
        <f>'DOE25'!H12</f>
        <v>0</v>
      </c>
      <c r="F11" s="95">
        <f>'DOE25'!I12</f>
        <v>0</v>
      </c>
      <c r="G11" s="95">
        <f>'DOE25'!J12</f>
        <v>4968.75</v>
      </c>
      <c r="H11" s="124"/>
      <c r="I11" s="124"/>
    </row>
    <row r="12" spans="1:9" x14ac:dyDescent="0.2">
      <c r="A12" s="1" t="s">
        <v>143</v>
      </c>
      <c r="B12" s="6">
        <v>140</v>
      </c>
      <c r="C12" s="95">
        <f>'DOE25'!F13</f>
        <v>82431.64</v>
      </c>
      <c r="D12" s="95">
        <f>'DOE25'!G13</f>
        <v>7040.88</v>
      </c>
      <c r="E12" s="95">
        <f>'DOE25'!H13</f>
        <v>50753.21</v>
      </c>
      <c r="F12" s="95">
        <f>'DOE25'!I13</f>
        <v>0</v>
      </c>
      <c r="G12" s="95">
        <f>'DOE25'!J13</f>
        <v>0</v>
      </c>
      <c r="H12" s="124"/>
      <c r="I12" s="124"/>
    </row>
    <row r="13" spans="1:9" x14ac:dyDescent="0.2">
      <c r="A13" s="1" t="s">
        <v>144</v>
      </c>
      <c r="B13" s="6">
        <v>150</v>
      </c>
      <c r="C13" s="95">
        <f>'DOE25'!F14</f>
        <v>6327.47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801024.21</v>
      </c>
      <c r="D18" s="41">
        <f>SUM(D8:D17)</f>
        <v>7728.65</v>
      </c>
      <c r="E18" s="41">
        <f>SUM(E8:E17)</f>
        <v>50753.21</v>
      </c>
      <c r="F18" s="41">
        <f>SUM(F8:F17)</f>
        <v>0</v>
      </c>
      <c r="G18" s="41">
        <f>SUM(G8:G17)</f>
        <v>397127.41000000003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40969.78</v>
      </c>
      <c r="F21" s="95">
        <f>'DOE25'!I22</f>
        <v>0</v>
      </c>
      <c r="G21" s="95">
        <f>'DOE25'!J22</f>
        <v>0</v>
      </c>
      <c r="H21" s="124"/>
      <c r="I21" s="124"/>
    </row>
    <row r="22" spans="1:9" x14ac:dyDescent="0.2">
      <c r="A22" s="1" t="s">
        <v>151</v>
      </c>
      <c r="B22" s="6">
        <v>410</v>
      </c>
      <c r="C22" s="95">
        <f>'DOE25'!F23</f>
        <v>721510.6</v>
      </c>
      <c r="D22" s="95">
        <f>'DOE25'!G23</f>
        <v>0</v>
      </c>
      <c r="E22" s="95">
        <f>'DOE25'!H23</f>
        <v>3674.41</v>
      </c>
      <c r="F22" s="95">
        <f>'DOE25'!I23</f>
        <v>0</v>
      </c>
      <c r="G22" s="95">
        <f>'DOE25'!J23</f>
        <v>0</v>
      </c>
      <c r="H22" s="124"/>
      <c r="I22" s="124"/>
    </row>
    <row r="23" spans="1:9" x14ac:dyDescent="0.2">
      <c r="A23" s="1" t="s">
        <v>152</v>
      </c>
      <c r="B23" s="6">
        <v>420</v>
      </c>
      <c r="C23" s="95">
        <f>'DOE25'!F24</f>
        <v>2160.8000000000002</v>
      </c>
      <c r="D23" s="95">
        <f>'DOE25'!G24</f>
        <v>7158.65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7303.63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6109.02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730975.03</v>
      </c>
      <c r="D31" s="41">
        <f>SUM(D21:D30)</f>
        <v>7158.65</v>
      </c>
      <c r="E31" s="41">
        <f>SUM(E21:E30)</f>
        <v>50753.210000000006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44541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570</v>
      </c>
      <c r="E47" s="95">
        <f>'DOE25'!H48</f>
        <v>0</v>
      </c>
      <c r="F47" s="95">
        <f>'DOE25'!I48</f>
        <v>0</v>
      </c>
      <c r="G47" s="95">
        <f>'DOE25'!J48</f>
        <v>397127.41000000003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25508.18</v>
      </c>
      <c r="D49" s="24" t="s">
        <v>288</v>
      </c>
      <c r="E49" s="24" t="s">
        <v>288</v>
      </c>
      <c r="F49" s="24" t="s">
        <v>288</v>
      </c>
      <c r="G49" s="24" t="s">
        <v>288</v>
      </c>
      <c r="H49" s="124"/>
      <c r="I49" s="124"/>
    </row>
    <row r="50" spans="1:9" ht="12.75" thickTop="1" thickBot="1" x14ac:dyDescent="0.25">
      <c r="A50" s="38" t="s">
        <v>884</v>
      </c>
      <c r="B50" s="48"/>
      <c r="C50" s="41">
        <f>SUM(C34:C49)</f>
        <v>70049.179999999993</v>
      </c>
      <c r="D50" s="41">
        <f>SUM(D34:D49)</f>
        <v>570</v>
      </c>
      <c r="E50" s="41">
        <f>SUM(E34:E49)</f>
        <v>0</v>
      </c>
      <c r="F50" s="41">
        <f>SUM(F34:F49)</f>
        <v>0</v>
      </c>
      <c r="G50" s="41">
        <f>SUM(G34:G49)</f>
        <v>397127.41000000003</v>
      </c>
      <c r="H50" s="124"/>
      <c r="I50" s="124"/>
    </row>
    <row r="51" spans="1:9" ht="12" thickTop="1" x14ac:dyDescent="0.2">
      <c r="A51" s="38" t="s">
        <v>885</v>
      </c>
      <c r="B51" s="2"/>
      <c r="C51" s="41">
        <f>C50+C31</f>
        <v>801024.21</v>
      </c>
      <c r="D51" s="41">
        <f>D50+D31</f>
        <v>7728.65</v>
      </c>
      <c r="E51" s="41">
        <f>E50+E31</f>
        <v>50753.210000000006</v>
      </c>
      <c r="F51" s="41">
        <f>F50+F31</f>
        <v>0</v>
      </c>
      <c r="G51" s="41">
        <f>G50+G31</f>
        <v>397127.41000000003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1552844</v>
      </c>
      <c r="D56" s="95">
        <f>'DOE25'!G60</f>
        <v>0</v>
      </c>
      <c r="E56" s="95">
        <f>'DOE25'!H60</f>
        <v>0</v>
      </c>
      <c r="F56" s="95">
        <f>'DOE25'!I60</f>
        <v>0</v>
      </c>
      <c r="G56" s="95">
        <f>'DOE25'!J60</f>
        <v>0</v>
      </c>
      <c r="H56"/>
      <c r="I56"/>
    </row>
    <row r="57" spans="1:9" x14ac:dyDescent="0.2">
      <c r="A57" s="1" t="s">
        <v>164</v>
      </c>
      <c r="B57" s="6" t="s">
        <v>165</v>
      </c>
      <c r="C57" s="95">
        <f>'DOE25'!F79</f>
        <v>145447.12</v>
      </c>
      <c r="D57" s="24" t="s">
        <v>288</v>
      </c>
      <c r="E57" s="95">
        <f>'DOE25'!H79</f>
        <v>860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11656.58</v>
      </c>
      <c r="D59" s="95">
        <f>'DOE25'!G96</f>
        <v>0</v>
      </c>
      <c r="E59" s="95">
        <f>'DOE25'!H96</f>
        <v>0</v>
      </c>
      <c r="F59" s="95">
        <f>'DOE25'!I96</f>
        <v>0</v>
      </c>
      <c r="G59" s="95">
        <f>'DOE25'!J96</f>
        <v>7943.9</v>
      </c>
      <c r="H59"/>
      <c r="I59"/>
    </row>
    <row r="60" spans="1:9" x14ac:dyDescent="0.2">
      <c r="A60" s="1" t="s">
        <v>170</v>
      </c>
      <c r="B60" s="118" t="s">
        <v>171</v>
      </c>
      <c r="C60" s="24" t="s">
        <v>288</v>
      </c>
      <c r="D60" s="95">
        <f>'DOE25'!G97</f>
        <v>20269.29</v>
      </c>
      <c r="E60" s="24" t="s">
        <v>288</v>
      </c>
      <c r="F60" s="24" t="s">
        <v>288</v>
      </c>
      <c r="G60" s="24" t="s">
        <v>288</v>
      </c>
      <c r="H60"/>
      <c r="I60"/>
    </row>
    <row r="61" spans="1:9" ht="12" thickBot="1" x14ac:dyDescent="0.25">
      <c r="A61" s="1" t="s">
        <v>172</v>
      </c>
      <c r="B61" s="118" t="s">
        <v>173</v>
      </c>
      <c r="C61" s="95">
        <f>SUM('DOE25'!F98:F110)</f>
        <v>26408.41</v>
      </c>
      <c r="D61" s="95">
        <f>SUM('DOE25'!G98:G110)</f>
        <v>0</v>
      </c>
      <c r="E61" s="95">
        <f>SUM('DOE25'!H98:H110)</f>
        <v>2615.88</v>
      </c>
      <c r="F61" s="95">
        <f>SUM('DOE25'!I98:I110)</f>
        <v>0</v>
      </c>
      <c r="G61" s="95">
        <f>SUM('DOE25'!J98:J110)</f>
        <v>630</v>
      </c>
      <c r="H61"/>
      <c r="I61"/>
    </row>
    <row r="62" spans="1:9" ht="12.75" thickTop="1" thickBot="1" x14ac:dyDescent="0.25">
      <c r="A62" s="29" t="s">
        <v>174</v>
      </c>
      <c r="B62" s="6"/>
      <c r="C62" s="130">
        <f>SUM(C57:C61)</f>
        <v>183512.11</v>
      </c>
      <c r="D62" s="130">
        <f>SUM(D57:D61)</f>
        <v>20269.29</v>
      </c>
      <c r="E62" s="130">
        <f>SUM(E57:E61)</f>
        <v>3475.88</v>
      </c>
      <c r="F62" s="130">
        <f>SUM(F57:F61)</f>
        <v>0</v>
      </c>
      <c r="G62" s="130">
        <f>SUM(G57:G61)</f>
        <v>8573.9</v>
      </c>
      <c r="H62"/>
      <c r="I62"/>
    </row>
    <row r="63" spans="1:9" ht="12" thickTop="1" x14ac:dyDescent="0.2">
      <c r="A63" s="29" t="s">
        <v>175</v>
      </c>
      <c r="B63" s="6"/>
      <c r="C63" s="22">
        <f>C56+C62</f>
        <v>1736356.1099999999</v>
      </c>
      <c r="D63" s="22">
        <f>D56+D62</f>
        <v>20269.29</v>
      </c>
      <c r="E63" s="22">
        <f>E56+E62</f>
        <v>3475.88</v>
      </c>
      <c r="F63" s="22">
        <f>F56+F62</f>
        <v>0</v>
      </c>
      <c r="G63" s="22">
        <f>G56+G62</f>
        <v>8573.9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1098118.8999999999</v>
      </c>
      <c r="D66" s="24" t="s">
        <v>288</v>
      </c>
      <c r="E66" s="24" t="s">
        <v>288</v>
      </c>
      <c r="F66" s="24" t="s">
        <v>288</v>
      </c>
      <c r="G66" s="24" t="s">
        <v>288</v>
      </c>
      <c r="H66"/>
      <c r="I66"/>
    </row>
    <row r="67" spans="1:9" x14ac:dyDescent="0.2">
      <c r="A67" s="1" t="s">
        <v>770</v>
      </c>
      <c r="B67" s="6">
        <v>3112</v>
      </c>
      <c r="C67" s="95">
        <f>'DOE25'!F118</f>
        <v>228798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1326916.8999999999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13200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21881.919999999998</v>
      </c>
      <c r="F76" s="95">
        <f>SUM('DOE25'!I127:I130)</f>
        <v>0</v>
      </c>
      <c r="G76" s="24" t="s">
        <v>288</v>
      </c>
      <c r="H76"/>
      <c r="I76"/>
    </row>
    <row r="77" spans="1:9" ht="12" thickBot="1" x14ac:dyDescent="0.25">
      <c r="A77" s="1" t="s">
        <v>258</v>
      </c>
      <c r="B77" s="6" t="s">
        <v>180</v>
      </c>
      <c r="C77" s="95">
        <f>SUM('DOE25'!F131:F135)</f>
        <v>0</v>
      </c>
      <c r="D77" s="95">
        <f>SUM('DOE25'!G131:G135)</f>
        <v>947.58</v>
      </c>
      <c r="E77" s="95">
        <f>SUM('DOE25'!H131:H135)</f>
        <v>0</v>
      </c>
      <c r="F77" s="95">
        <f>SUM('DOE25'!I131:I135)</f>
        <v>390974.77</v>
      </c>
      <c r="G77" s="95">
        <f>SUM('DOE25'!J131:J135)</f>
        <v>0</v>
      </c>
      <c r="H77"/>
      <c r="I77"/>
    </row>
    <row r="78" spans="1:9" ht="12.75" thickTop="1" thickBot="1" x14ac:dyDescent="0.25">
      <c r="A78" s="29" t="s">
        <v>259</v>
      </c>
      <c r="B78" s="6"/>
      <c r="C78" s="130">
        <f>SUM(C72:C77)</f>
        <v>13200</v>
      </c>
      <c r="D78" s="130">
        <f>SUM(D72:D77)</f>
        <v>947.58</v>
      </c>
      <c r="E78" s="130">
        <f>SUM(E72:E77)</f>
        <v>21881.919999999998</v>
      </c>
      <c r="F78" s="130">
        <f>SUM(F72:F77)</f>
        <v>390974.77</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1340116.8999999999</v>
      </c>
      <c r="D81" s="130">
        <f>SUM(D79:D80)+D78+D70</f>
        <v>947.58</v>
      </c>
      <c r="E81" s="130">
        <f>SUM(E79:E80)+E78+E70</f>
        <v>21881.919999999998</v>
      </c>
      <c r="F81" s="130">
        <f>SUM(F79:F80)+F78+F70</f>
        <v>390974.77</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4733</v>
      </c>
      <c r="F87" s="95">
        <f>SUM('DOE25'!I149:I152)</f>
        <v>0</v>
      </c>
      <c r="G87" s="24" t="s">
        <v>288</v>
      </c>
    </row>
    <row r="88" spans="1:9" x14ac:dyDescent="0.2">
      <c r="A88" t="s">
        <v>747</v>
      </c>
      <c r="B88" s="32" t="s">
        <v>184</v>
      </c>
      <c r="C88" s="95">
        <f>SUM('DOE25'!F153:F161)</f>
        <v>27656.6</v>
      </c>
      <c r="D88" s="95">
        <f>SUM('DOE25'!G153:G161)</f>
        <v>45045.440000000002</v>
      </c>
      <c r="E88" s="95">
        <f>SUM('DOE25'!H153:H161)</f>
        <v>81818.58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8297.7900000000009</v>
      </c>
      <c r="D90" s="24" t="s">
        <v>288</v>
      </c>
      <c r="E90" s="24" t="s">
        <v>288</v>
      </c>
      <c r="F90" s="24" t="s">
        <v>288</v>
      </c>
      <c r="G90" s="24" t="s">
        <v>288</v>
      </c>
    </row>
    <row r="91" spans="1:9" ht="12.75" thickTop="1" thickBot="1" x14ac:dyDescent="0.25">
      <c r="A91" s="33" t="s">
        <v>750</v>
      </c>
      <c r="C91" s="131">
        <f>SUM(C85:C90)</f>
        <v>35954.39</v>
      </c>
      <c r="D91" s="131">
        <f>SUM(D85:D90)</f>
        <v>45045.440000000002</v>
      </c>
      <c r="E91" s="131">
        <f>SUM(E85:E90)</f>
        <v>86551.58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495000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41000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18082.939999999999</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18082.939999999999</v>
      </c>
      <c r="D103" s="86">
        <f>SUM(D93:D102)</f>
        <v>0</v>
      </c>
      <c r="E103" s="86">
        <f>SUM(E93:E102)</f>
        <v>0</v>
      </c>
      <c r="F103" s="86">
        <f>SUM(F93:F102)</f>
        <v>495000</v>
      </c>
      <c r="G103" s="86">
        <f>SUM(G93:G102)</f>
        <v>41000</v>
      </c>
    </row>
    <row r="104" spans="1:7" ht="12.75" thickTop="1" thickBot="1" x14ac:dyDescent="0.25">
      <c r="A104" s="33" t="s">
        <v>761</v>
      </c>
      <c r="C104" s="86">
        <f>C63+C81+C91+C103</f>
        <v>3130510.34</v>
      </c>
      <c r="D104" s="86">
        <f>D63+D81+D91+D103</f>
        <v>66262.31</v>
      </c>
      <c r="E104" s="86">
        <f>E63+E81+E91+E103</f>
        <v>111909.38</v>
      </c>
      <c r="F104" s="86">
        <f>F63+F81+F91+F103</f>
        <v>885974.77</v>
      </c>
      <c r="G104" s="86">
        <f>G63+G81+G103</f>
        <v>49573.9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1899754.75</v>
      </c>
      <c r="D109" s="24" t="s">
        <v>288</v>
      </c>
      <c r="E109" s="95">
        <f>('DOE25'!L276)+('DOE25'!L295)+('DOE25'!L314)</f>
        <v>43290.83</v>
      </c>
      <c r="F109" s="24" t="s">
        <v>288</v>
      </c>
      <c r="G109" s="24" t="s">
        <v>288</v>
      </c>
    </row>
    <row r="110" spans="1:7" x14ac:dyDescent="0.2">
      <c r="A110" t="s">
        <v>198</v>
      </c>
      <c r="B110" s="32" t="s">
        <v>199</v>
      </c>
      <c r="C110" s="95">
        <f>('DOE25'!L198)+('DOE25'!L216)+('DOE25'!L234)</f>
        <v>256440.87000000002</v>
      </c>
      <c r="D110" s="24" t="s">
        <v>288</v>
      </c>
      <c r="E110" s="95">
        <f>('DOE25'!L277)+('DOE25'!L296)+('DOE25'!L315)</f>
        <v>38876.58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9240.9700000000012</v>
      </c>
      <c r="D112" s="24" t="s">
        <v>288</v>
      </c>
      <c r="E112" s="95">
        <f>+('DOE25'!L279)+('DOE25'!L298)+('DOE25'!L317)</f>
        <v>12855.16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6508.57</v>
      </c>
      <c r="D114" s="24" t="s">
        <v>288</v>
      </c>
      <c r="E114" s="95">
        <f>+ SUM('DOE25'!L333:L335)</f>
        <v>0</v>
      </c>
      <c r="F114" s="24" t="s">
        <v>288</v>
      </c>
      <c r="G114" s="24" t="s">
        <v>288</v>
      </c>
    </row>
    <row r="115" spans="1:7" ht="12.75" thickTop="1" thickBot="1" x14ac:dyDescent="0.25">
      <c r="A115" s="33" t="s">
        <v>205</v>
      </c>
      <c r="C115" s="86">
        <f>SUM(C109:C114)</f>
        <v>2171945.16</v>
      </c>
      <c r="D115" s="86">
        <f>SUM(D109:D114)</f>
        <v>0</v>
      </c>
      <c r="E115" s="86">
        <f>SUM(E109:E114)</f>
        <v>95022.57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238565.25</v>
      </c>
      <c r="D118" s="24" t="s">
        <v>288</v>
      </c>
      <c r="E118" s="95">
        <f>+('DOE25'!L281)+('DOE25'!L300)+('DOE25'!L319)</f>
        <v>1005.94</v>
      </c>
      <c r="F118" s="24" t="s">
        <v>288</v>
      </c>
      <c r="G118" s="24" t="s">
        <v>288</v>
      </c>
    </row>
    <row r="119" spans="1:7" x14ac:dyDescent="0.2">
      <c r="A119" t="s">
        <v>208</v>
      </c>
      <c r="B119" s="32" t="s">
        <v>209</v>
      </c>
      <c r="C119" s="95">
        <f>('DOE25'!L203)+('DOE25'!L221)+('DOE25'!L239)</f>
        <v>40704.07</v>
      </c>
      <c r="D119" s="24" t="s">
        <v>288</v>
      </c>
      <c r="E119" s="95">
        <f>+('DOE25'!L282)+('DOE25'!L301)+('DOE25'!L320)</f>
        <v>13488.33</v>
      </c>
      <c r="F119" s="24" t="s">
        <v>288</v>
      </c>
      <c r="G119" s="24" t="s">
        <v>288</v>
      </c>
    </row>
    <row r="120" spans="1:7" x14ac:dyDescent="0.2">
      <c r="A120" t="s">
        <v>210</v>
      </c>
      <c r="B120" s="32" t="s">
        <v>211</v>
      </c>
      <c r="C120" s="95">
        <f>('DOE25'!L204)+('DOE25'!L222)+('DOE25'!L240)</f>
        <v>162365.27000000005</v>
      </c>
      <c r="D120" s="24" t="s">
        <v>288</v>
      </c>
      <c r="E120" s="95">
        <f>+('DOE25'!L283)+('DOE25'!L302)+('DOE25'!L321)</f>
        <v>0</v>
      </c>
      <c r="F120" s="24" t="s">
        <v>288</v>
      </c>
      <c r="G120" s="24" t="s">
        <v>288</v>
      </c>
    </row>
    <row r="121" spans="1:7" x14ac:dyDescent="0.2">
      <c r="A121" t="s">
        <v>212</v>
      </c>
      <c r="B121" s="32" t="s">
        <v>213</v>
      </c>
      <c r="C121" s="95">
        <f>('DOE25'!L205)+('DOE25'!L223)+('DOE25'!L241)</f>
        <v>137476.24999999997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185057.38999999998</v>
      </c>
      <c r="D123" s="24" t="s">
        <v>288</v>
      </c>
      <c r="E123" s="95">
        <f>+('DOE25'!L286)+('DOE25'!L305)+('DOE25'!L324)</f>
        <v>0</v>
      </c>
      <c r="F123" s="24" t="s">
        <v>288</v>
      </c>
      <c r="G123" s="24" t="s">
        <v>288</v>
      </c>
    </row>
    <row r="124" spans="1:7" x14ac:dyDescent="0.2">
      <c r="A124" t="s">
        <v>218</v>
      </c>
      <c r="B124" s="32" t="s">
        <v>219</v>
      </c>
      <c r="C124" s="95">
        <f>('DOE25'!L208)+('DOE25'!L226)+('DOE25'!L244+'DOE25'!L254)</f>
        <v>241321.72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66077</v>
      </c>
      <c r="E127" s="24" t="s">
        <v>288</v>
      </c>
      <c r="F127" s="24" t="s">
        <v>288</v>
      </c>
      <c r="G127" s="24" t="s">
        <v>288</v>
      </c>
    </row>
    <row r="128" spans="1:7" ht="12.75" thickTop="1" thickBot="1" x14ac:dyDescent="0.25">
      <c r="A128" s="33" t="s">
        <v>226</v>
      </c>
      <c r="C128" s="86">
        <f>SUM(C118:C127)</f>
        <v>1005489.9500000001</v>
      </c>
      <c r="D128" s="86">
        <f>SUM(D118:D127)</f>
        <v>66077</v>
      </c>
      <c r="E128" s="86">
        <f>SUM(E118:E127)</f>
        <v>14494.27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680</v>
      </c>
      <c r="D130" s="24" t="s">
        <v>288</v>
      </c>
      <c r="E130" s="129">
        <f>'DOE25'!L336</f>
        <v>0</v>
      </c>
      <c r="F130" s="129">
        <f>SUM('DOE25'!L374:'DOE25'!L380)</f>
        <v>846253.3899999999</v>
      </c>
      <c r="G130" s="24" t="s">
        <v>288</v>
      </c>
    </row>
    <row r="131" spans="1:7" x14ac:dyDescent="0.2">
      <c r="A131" t="s">
        <v>229</v>
      </c>
      <c r="B131" s="32">
        <v>5110</v>
      </c>
      <c r="C131" s="95">
        <f>'DOE25'!L260</f>
        <v>99000</v>
      </c>
      <c r="D131" s="24" t="s">
        <v>288</v>
      </c>
      <c r="E131" s="129">
        <f>'DOE25'!L341</f>
        <v>0</v>
      </c>
      <c r="F131" s="24" t="s">
        <v>288</v>
      </c>
      <c r="G131" s="24" t="s">
        <v>288</v>
      </c>
    </row>
    <row r="132" spans="1:7" x14ac:dyDescent="0.2">
      <c r="A132" t="s">
        <v>230</v>
      </c>
      <c r="B132" s="32">
        <v>5120</v>
      </c>
      <c r="C132" s="95">
        <f>'DOE25'!L261</f>
        <v>4851.05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18082.939999999999</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44825.02</v>
      </c>
      <c r="D138" s="24" t="s">
        <v>288</v>
      </c>
      <c r="E138" s="24" t="s">
        <v>288</v>
      </c>
      <c r="F138" s="24" t="s">
        <v>288</v>
      </c>
      <c r="G138" s="24" t="s">
        <v>288</v>
      </c>
    </row>
    <row r="139" spans="1:7" x14ac:dyDescent="0.2">
      <c r="A139" t="s">
        <v>239</v>
      </c>
      <c r="B139" s="32">
        <v>5252</v>
      </c>
      <c r="C139" s="95">
        <f>'DOE25'!L401</f>
        <v>4748.88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-8573.8999999999942</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2392.54</v>
      </c>
      <c r="F143" s="24" t="s">
        <v>288</v>
      </c>
      <c r="G143" s="24" t="s">
        <v>288</v>
      </c>
    </row>
    <row r="144" spans="1:7" ht="12" thickBot="1" x14ac:dyDescent="0.25">
      <c r="A144" s="33" t="s">
        <v>243</v>
      </c>
      <c r="C144" s="141">
        <f>SUM(C130:C143)</f>
        <v>145531.05000000002</v>
      </c>
      <c r="D144" s="141">
        <f>SUM(D130:D143)</f>
        <v>0</v>
      </c>
      <c r="E144" s="141">
        <f>SUM(E130:E143)</f>
        <v>2392.54</v>
      </c>
      <c r="F144" s="141">
        <f>SUM(F130:F143)</f>
        <v>864336.32999999984</v>
      </c>
      <c r="G144" s="141">
        <f>SUM(G130:G143)</f>
        <v>0</v>
      </c>
    </row>
    <row r="145" spans="1:9" ht="12.75" thickTop="1" thickBot="1" x14ac:dyDescent="0.25">
      <c r="A145" s="33" t="s">
        <v>244</v>
      </c>
      <c r="C145" s="86">
        <f>(C115+C128+C144)</f>
        <v>3322966.16</v>
      </c>
      <c r="D145" s="86">
        <f>(D115+D128+D144)</f>
        <v>66077</v>
      </c>
      <c r="E145" s="86">
        <f>(E115+E128+E144)</f>
        <v>111909.38</v>
      </c>
      <c r="F145" s="86">
        <f>(F115+F128+F144)</f>
        <v>864336.32999999984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5</v>
      </c>
      <c r="C151" s="153">
        <f>'DOE25'!G490</f>
        <v>0</v>
      </c>
      <c r="D151" s="153">
        <f>'DOE25'!H490</f>
        <v>0</v>
      </c>
      <c r="E151" s="153">
        <f>'DOE25'!I490</f>
        <v>0</v>
      </c>
      <c r="F151" s="153">
        <f>'DOE25'!J490</f>
        <v>0</v>
      </c>
      <c r="G151" s="24" t="s">
        <v>288</v>
      </c>
    </row>
    <row r="152" spans="1:9" x14ac:dyDescent="0.2">
      <c r="A152" s="136" t="s">
        <v>28</v>
      </c>
      <c r="B152" s="152" t="str">
        <f>'DOE25'!F491</f>
        <v>06/18</v>
      </c>
      <c r="C152" s="152">
        <f>'DOE25'!G491</f>
        <v>0</v>
      </c>
      <c r="D152" s="152">
        <f>'DOE25'!H491</f>
        <v>0</v>
      </c>
      <c r="E152" s="152">
        <f>'DOE25'!I491</f>
        <v>0</v>
      </c>
      <c r="F152" s="152">
        <f>'DOE25'!J491</f>
        <v>0</v>
      </c>
      <c r="G152" s="24" t="s">
        <v>288</v>
      </c>
    </row>
    <row r="153" spans="1:9" x14ac:dyDescent="0.2">
      <c r="A153" s="136" t="s">
        <v>29</v>
      </c>
      <c r="B153" s="152" t="str">
        <f>'DOE25'!F492</f>
        <v>09/22</v>
      </c>
      <c r="C153" s="152">
        <f>'DOE25'!G492</f>
        <v>0</v>
      </c>
      <c r="D153" s="152">
        <f>'DOE25'!H492</f>
        <v>0</v>
      </c>
      <c r="E153" s="152">
        <f>'DOE25'!I492</f>
        <v>0</v>
      </c>
      <c r="F153" s="152">
        <f>'DOE25'!J492</f>
        <v>0</v>
      </c>
      <c r="G153" s="24" t="s">
        <v>288</v>
      </c>
    </row>
    <row r="154" spans="1:9" x14ac:dyDescent="0.2">
      <c r="A154" s="136" t="s">
        <v>30</v>
      </c>
      <c r="B154" s="137">
        <f>'DOE25'!F493</f>
        <v>495000</v>
      </c>
      <c r="C154" s="137">
        <f>'DOE25'!G493</f>
        <v>0</v>
      </c>
      <c r="D154" s="137">
        <f>'DOE25'!H493</f>
        <v>0</v>
      </c>
      <c r="E154" s="137">
        <f>'DOE25'!I493</f>
        <v>0</v>
      </c>
      <c r="F154" s="137">
        <f>'DOE25'!J493</f>
        <v>0</v>
      </c>
      <c r="G154" s="24" t="s">
        <v>288</v>
      </c>
    </row>
    <row r="155" spans="1:9" x14ac:dyDescent="0.2">
      <c r="A155" s="136" t="s">
        <v>31</v>
      </c>
      <c r="B155" s="137">
        <f>'DOE25'!F494</f>
        <v>0.02</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495000</v>
      </c>
      <c r="C157" s="137">
        <f>'DOE25'!G496</f>
        <v>0</v>
      </c>
      <c r="D157" s="137">
        <f>'DOE25'!H496</f>
        <v>0</v>
      </c>
      <c r="E157" s="137">
        <f>'DOE25'!I496</f>
        <v>0</v>
      </c>
      <c r="F157" s="137">
        <f>'DOE25'!J496</f>
        <v>0</v>
      </c>
      <c r="G157" s="138">
        <f t="shared" ref="G157:G164" si="0">SUM(B157:F157)</f>
        <v>495000</v>
      </c>
    </row>
    <row r="158" spans="1:9" x14ac:dyDescent="0.2">
      <c r="A158" s="22" t="s">
        <v>34</v>
      </c>
      <c r="B158" s="137">
        <f>'DOE25'!F497</f>
        <v>99000</v>
      </c>
      <c r="C158" s="137">
        <f>'DOE25'!G497</f>
        <v>0</v>
      </c>
      <c r="D158" s="137">
        <f>'DOE25'!H497</f>
        <v>0</v>
      </c>
      <c r="E158" s="137">
        <f>'DOE25'!I497</f>
        <v>0</v>
      </c>
      <c r="F158" s="137">
        <f>'DOE25'!J497</f>
        <v>0</v>
      </c>
      <c r="G158" s="138">
        <f t="shared" si="0"/>
        <v>99000</v>
      </c>
    </row>
    <row r="159" spans="1:9" x14ac:dyDescent="0.2">
      <c r="A159" s="22" t="s">
        <v>35</v>
      </c>
      <c r="B159" s="137">
        <f>'DOE25'!F498</f>
        <v>396000</v>
      </c>
      <c r="C159" s="137">
        <f>'DOE25'!G498</f>
        <v>0</v>
      </c>
      <c r="D159" s="137">
        <f>'DOE25'!H498</f>
        <v>0</v>
      </c>
      <c r="E159" s="137">
        <f>'DOE25'!I498</f>
        <v>0</v>
      </c>
      <c r="F159" s="137">
        <f>'DOE25'!J498</f>
        <v>0</v>
      </c>
      <c r="G159" s="138">
        <f t="shared" si="0"/>
        <v>396000</v>
      </c>
    </row>
    <row r="160" spans="1:9" x14ac:dyDescent="0.2">
      <c r="A160" s="22" t="s">
        <v>36</v>
      </c>
      <c r="B160" s="137">
        <f>'DOE25'!F499</f>
        <v>15806</v>
      </c>
      <c r="C160" s="137">
        <f>'DOE25'!G499</f>
        <v>0</v>
      </c>
      <c r="D160" s="137">
        <f>'DOE25'!H499</f>
        <v>0</v>
      </c>
      <c r="E160" s="137">
        <f>'DOE25'!I499</f>
        <v>0</v>
      </c>
      <c r="F160" s="137">
        <f>'DOE25'!J499</f>
        <v>0</v>
      </c>
      <c r="G160" s="138">
        <f t="shared" si="0"/>
        <v>15806</v>
      </c>
    </row>
    <row r="161" spans="1:7" x14ac:dyDescent="0.2">
      <c r="A161" s="22" t="s">
        <v>37</v>
      </c>
      <c r="B161" s="137">
        <f>'DOE25'!F500</f>
        <v>411806</v>
      </c>
      <c r="C161" s="137">
        <f>'DOE25'!G500</f>
        <v>0</v>
      </c>
      <c r="D161" s="137">
        <f>'DOE25'!H500</f>
        <v>0</v>
      </c>
      <c r="E161" s="137">
        <f>'DOE25'!I500</f>
        <v>0</v>
      </c>
      <c r="F161" s="137">
        <f>'DOE25'!J500</f>
        <v>0</v>
      </c>
      <c r="G161" s="138">
        <f t="shared" si="0"/>
        <v>411806</v>
      </c>
    </row>
    <row r="162" spans="1:7" x14ac:dyDescent="0.2">
      <c r="A162" s="22" t="s">
        <v>38</v>
      </c>
      <c r="B162" s="137">
        <f>'DOE25'!F501</f>
        <v>99000</v>
      </c>
      <c r="C162" s="137">
        <f>'DOE25'!G501</f>
        <v>0</v>
      </c>
      <c r="D162" s="137">
        <f>'DOE25'!H501</f>
        <v>0</v>
      </c>
      <c r="E162" s="137">
        <f>'DOE25'!I501</f>
        <v>0</v>
      </c>
      <c r="F162" s="137">
        <f>'DOE25'!J501</f>
        <v>0</v>
      </c>
      <c r="G162" s="138">
        <f t="shared" si="0"/>
        <v>99000</v>
      </c>
    </row>
    <row r="163" spans="1:7" x14ac:dyDescent="0.2">
      <c r="A163" s="22" t="s">
        <v>39</v>
      </c>
      <c r="B163" s="137">
        <f>'DOE25'!F502</f>
        <v>6930</v>
      </c>
      <c r="C163" s="137">
        <f>'DOE25'!G502</f>
        <v>0</v>
      </c>
      <c r="D163" s="137">
        <f>'DOE25'!H502</f>
        <v>0</v>
      </c>
      <c r="E163" s="137">
        <f>'DOE25'!I502</f>
        <v>0</v>
      </c>
      <c r="F163" s="137">
        <f>'DOE25'!J502</f>
        <v>0</v>
      </c>
      <c r="G163" s="138">
        <f t="shared" si="0"/>
        <v>6930</v>
      </c>
    </row>
    <row r="164" spans="1:7" x14ac:dyDescent="0.2">
      <c r="A164" s="22" t="s">
        <v>246</v>
      </c>
      <c r="B164" s="137">
        <f>'DOE25'!F503</f>
        <v>105930</v>
      </c>
      <c r="C164" s="137">
        <f>'DOE25'!G503</f>
        <v>0</v>
      </c>
      <c r="D164" s="137">
        <f>'DOE25'!H503</f>
        <v>0</v>
      </c>
      <c r="E164" s="137">
        <f>'DOE25'!I503</f>
        <v>0</v>
      </c>
      <c r="F164" s="137">
        <f>'DOE25'!J503</f>
        <v>0</v>
      </c>
      <c r="G164" s="138">
        <f t="shared" si="0"/>
        <v>105930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Milan</v>
      </c>
    </row>
    <row r="3" spans="1:4" x14ac:dyDescent="0.2">
      <c r="B3" s="188" t="s">
        <v>1602</v>
      </c>
    </row>
    <row r="4" spans="1:4" x14ac:dyDescent="0.2">
      <c r="B4" t="s">
        <v>61</v>
      </c>
      <c r="C4" s="179">
        <f>IF('DOE25'!F665+'DOE25'!F670=0,0,ROUND('DOE25'!F672,0))</f>
        <v>13444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13444</v>
      </c>
    </row>
    <row r="9" spans="1:4" x14ac:dyDescent="0.2">
      <c r="A9" s="187" t="s">
        <v>94</v>
      </c>
      <c r="B9" s="188" t="s">
        <v>1603</v>
      </c>
      <c r="C9" s="181" t="s">
        <v>720</v>
      </c>
      <c r="D9" s="181" t="s">
        <v>721</v>
      </c>
    </row>
    <row r="10" spans="1:4" x14ac:dyDescent="0.2">
      <c r="A10">
        <v>1100</v>
      </c>
      <c r="B10" t="s">
        <v>702</v>
      </c>
      <c r="C10" s="179">
        <f>ROUND('DOE25'!L197+'DOE25'!L215+'DOE25'!L233+'DOE25'!L276+'DOE25'!L295+'DOE25'!L314,0)</f>
        <v>1943046</v>
      </c>
      <c r="D10" s="182">
        <f>ROUND((C10/$C$28)*100,1)</f>
        <v>58.2</v>
      </c>
    </row>
    <row r="11" spans="1:4" x14ac:dyDescent="0.2">
      <c r="A11">
        <v>1200</v>
      </c>
      <c r="B11" t="s">
        <v>703</v>
      </c>
      <c r="C11" s="179">
        <f>ROUND('DOE25'!L198+'DOE25'!L216+'DOE25'!L234+'DOE25'!L277+'DOE25'!L296+'DOE25'!L315,0)</f>
        <v>295317</v>
      </c>
      <c r="D11" s="182">
        <f>ROUND((C11/$C$28)*100,1)</f>
        <v>8.8000000000000007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22096</v>
      </c>
      <c r="D13" s="182">
        <f>ROUND((C13/$C$28)*100,1)</f>
        <v>0.7</v>
      </c>
    </row>
    <row r="14" spans="1:4" x14ac:dyDescent="0.2">
      <c r="D14" s="182"/>
    </row>
    <row r="15" spans="1:4" x14ac:dyDescent="0.2">
      <c r="A15">
        <v>2100</v>
      </c>
      <c r="B15" t="s">
        <v>706</v>
      </c>
      <c r="C15" s="179">
        <f>ROUND('DOE25'!L202+'DOE25'!L220+'DOE25'!L238+'DOE25'!L281+'DOE25'!L300+'DOE25'!L319,0)</f>
        <v>239571</v>
      </c>
      <c r="D15" s="182">
        <f t="shared" ref="D15:D27" si="0">ROUND((C15/$C$28)*100,1)</f>
        <v>7.2</v>
      </c>
    </row>
    <row r="16" spans="1:4" x14ac:dyDescent="0.2">
      <c r="A16">
        <v>2200</v>
      </c>
      <c r="B16" t="s">
        <v>707</v>
      </c>
      <c r="C16" s="179">
        <f>ROUND('DOE25'!L203+'DOE25'!L221+'DOE25'!L239+'DOE25'!L282+'DOE25'!L301+'DOE25'!L320,0)</f>
        <v>54192</v>
      </c>
      <c r="D16" s="182">
        <f t="shared" si="0"/>
        <v>1.6</v>
      </c>
    </row>
    <row r="17" spans="1:4" x14ac:dyDescent="0.2">
      <c r="A17" s="183" t="s">
        <v>723</v>
      </c>
      <c r="B17" t="s">
        <v>738</v>
      </c>
      <c r="C17" s="179">
        <f>ROUND('DOE25'!L204+'DOE25'!L209+'DOE25'!L222+'DOE25'!L227+'DOE25'!L240+'DOE25'!L245+'DOE25'!L283+'DOE25'!L288+'DOE25'!L302+'DOE25'!L307+'DOE25'!L321+'DOE25'!L326,0)</f>
        <v>162365</v>
      </c>
      <c r="D17" s="182">
        <f t="shared" si="0"/>
        <v>4.9000000000000004</v>
      </c>
    </row>
    <row r="18" spans="1:4" x14ac:dyDescent="0.2">
      <c r="A18">
        <v>2400</v>
      </c>
      <c r="B18" t="s">
        <v>711</v>
      </c>
      <c r="C18" s="179">
        <f>ROUND('DOE25'!L205+'DOE25'!L223+'DOE25'!L241+'DOE25'!L284+'DOE25'!L303+'DOE25'!L322,0)</f>
        <v>137476</v>
      </c>
      <c r="D18" s="182">
        <f t="shared" si="0"/>
        <v>4.0999999999999996</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185057</v>
      </c>
      <c r="D20" s="182">
        <f t="shared" si="0"/>
        <v>5.5</v>
      </c>
    </row>
    <row r="21" spans="1:4" x14ac:dyDescent="0.2">
      <c r="A21">
        <v>2700</v>
      </c>
      <c r="B21" t="s">
        <v>710</v>
      </c>
      <c r="C21" s="179">
        <f>ROUND('DOE25'!L208+'DOE25'!L226+'DOE25'!L244+'DOE25'!L287+'DOE25'!L306+'DOE25'!L325,0)</f>
        <v>241322</v>
      </c>
      <c r="D21" s="182">
        <f t="shared" si="0"/>
        <v>7.2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6509</v>
      </c>
      <c r="D24" s="182">
        <f t="shared" si="0"/>
        <v>0.2</v>
      </c>
    </row>
    <row r="25" spans="1:4" x14ac:dyDescent="0.2">
      <c r="A25">
        <v>5120</v>
      </c>
      <c r="B25" t="s">
        <v>716</v>
      </c>
      <c r="C25" s="179">
        <f>ROUND('DOE25'!L261+'DOE25'!L342,0)</f>
        <v>4851</v>
      </c>
      <c r="D25" s="182">
        <f t="shared" si="0"/>
        <v>0.1</v>
      </c>
    </row>
    <row r="26" spans="1:4" x14ac:dyDescent="0.2">
      <c r="A26" s="183" t="s">
        <v>717</v>
      </c>
      <c r="B26" t="s">
        <v>718</v>
      </c>
      <c r="C26" s="179">
        <f>'DOE25'!L268+'DOE25'!L269+'DOE25'!L349+'DOE25'!L350</f>
        <v>2392.54</v>
      </c>
      <c r="D26" s="182">
        <f t="shared" si="0"/>
        <v>0.1</v>
      </c>
    </row>
    <row r="27" spans="1:4" x14ac:dyDescent="0.2">
      <c r="A27">
        <v>3100</v>
      </c>
      <c r="B27" t="s">
        <v>11</v>
      </c>
      <c r="C27" s="179">
        <f>ROUND('DOE25'!L362-'DOE25'!L361,0)-SUM('DOE25'!G97:G110)</f>
        <v>45807.71</v>
      </c>
      <c r="D27" s="182">
        <f t="shared" si="0"/>
        <v>1.4</v>
      </c>
    </row>
    <row r="28" spans="1:4" x14ac:dyDescent="0.2">
      <c r="B28" s="187" t="s">
        <v>719</v>
      </c>
      <c r="C28" s="180">
        <f>SUM(C10:C27)</f>
        <v>3340002.25</v>
      </c>
      <c r="D28" s="184">
        <f>ROUND(SUM(D10:D27),0)</f>
        <v>100</v>
      </c>
    </row>
    <row r="29" spans="1:4" x14ac:dyDescent="0.2">
      <c r="A29">
        <v>4000</v>
      </c>
      <c r="B29" t="s">
        <v>724</v>
      </c>
      <c r="C29" s="179">
        <f>ROUND('DOE25'!L255+'DOE25'!L336+'DOE25'!L374+'DOE25'!L375+'DOE25'!L376+'DOE25'!L377+'DOE25'!L378+'DOE25'!L379+'DOE25'!L380,0)</f>
        <v>846933</v>
      </c>
    </row>
    <row r="30" spans="1:4" x14ac:dyDescent="0.2">
      <c r="B30" s="187" t="s">
        <v>725</v>
      </c>
      <c r="C30" s="180">
        <f>SUM(C28:C29)</f>
        <v>4186935.25</v>
      </c>
    </row>
    <row r="31" spans="1:4" x14ac:dyDescent="0.2">
      <c r="B31" s="33"/>
      <c r="C31" s="180"/>
    </row>
    <row r="32" spans="1:4" x14ac:dyDescent="0.2">
      <c r="A32">
        <v>5100</v>
      </c>
      <c r="B32" s="33" t="s">
        <v>726</v>
      </c>
      <c r="C32" s="180">
        <f>ROUND('DOE25'!L260+'DOE25'!L341,0)</f>
        <v>99000</v>
      </c>
    </row>
    <row r="34" spans="1:4" x14ac:dyDescent="0.2">
      <c r="A34" s="187" t="s">
        <v>94</v>
      </c>
      <c r="B34" s="188" t="s">
        <v>1604</v>
      </c>
      <c r="C34" s="181" t="s">
        <v>720</v>
      </c>
      <c r="D34" s="181" t="s">
        <v>721</v>
      </c>
    </row>
    <row r="35" spans="1:4" x14ac:dyDescent="0.2">
      <c r="A35">
        <v>1100</v>
      </c>
      <c r="B35" s="185" t="s">
        <v>727</v>
      </c>
      <c r="C35" s="179">
        <f>ROUND('DOE25'!F60+'DOE25'!G60+'DOE25'!H60+'DOE25'!I60+'DOE25'!J60,0)</f>
        <v>1552844</v>
      </c>
      <c r="D35" s="182">
        <f t="shared" ref="D35:D40" si="1">ROUND((C35/$C$41)*100,1)</f>
        <v>42.3</v>
      </c>
    </row>
    <row r="36" spans="1:4" x14ac:dyDescent="0.2">
      <c r="B36" s="185" t="s">
        <v>739</v>
      </c>
      <c r="C36" s="179">
        <f>SUM('DOE25'!F112:J112)-SUM('DOE25'!G97:G110)+('DOE25'!F174+'DOE25'!F175+'DOE25'!I174+'DOE25'!I175)-C35</f>
        <v>195561.8899999999</v>
      </c>
      <c r="D36" s="182">
        <f t="shared" si="1"/>
        <v>5.3</v>
      </c>
    </row>
    <row r="37" spans="1:4" x14ac:dyDescent="0.2">
      <c r="A37" s="183" t="s">
        <v>835</v>
      </c>
      <c r="B37" s="185" t="s">
        <v>728</v>
      </c>
      <c r="C37" s="179">
        <f>ROUND('DOE25'!F117+'DOE25'!F118,0)</f>
        <v>1326917</v>
      </c>
      <c r="D37" s="182">
        <f t="shared" si="1"/>
        <v>36.200000000000003</v>
      </c>
    </row>
    <row r="38" spans="1:4" x14ac:dyDescent="0.2">
      <c r="A38" s="183" t="s">
        <v>734</v>
      </c>
      <c r="B38" s="185" t="s">
        <v>729</v>
      </c>
      <c r="C38" s="179">
        <f>ROUND(SUM('DOE25'!F140:J140)-SUM('DOE25'!F117:F119),0)</f>
        <v>427004</v>
      </c>
      <c r="D38" s="182">
        <f t="shared" si="1"/>
        <v>11.6</v>
      </c>
    </row>
    <row r="39" spans="1:4" x14ac:dyDescent="0.2">
      <c r="A39">
        <v>4000</v>
      </c>
      <c r="B39" s="185" t="s">
        <v>730</v>
      </c>
      <c r="C39" s="179">
        <f>ROUND('DOE25'!F169+'DOE25'!G169+'DOE25'!H169+'DOE25'!I169,0)</f>
        <v>167551</v>
      </c>
      <c r="D39" s="182">
        <f t="shared" si="1"/>
        <v>4.5999999999999996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3669877.8899999997</v>
      </c>
      <c r="D41" s="184">
        <f>SUM(D35:D40)</f>
        <v>99.999999999999986</v>
      </c>
    </row>
    <row r="42" spans="1:4" x14ac:dyDescent="0.2">
      <c r="A42" s="183" t="s">
        <v>737</v>
      </c>
      <c r="B42" s="185" t="s">
        <v>733</v>
      </c>
      <c r="C42" s="179">
        <f>ROUND('DOE25'!F173+'DOE25'!I173+'DOE25'!F176+'DOE25'!I176,0)</f>
        <v>495000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38" sqref="C38:M38"/>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Milan</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2019-08-29T20:06:38Z</cp:lastPrinted>
  <dcterms:created xsi:type="dcterms:W3CDTF">1997-12-04T19:04:30Z</dcterms:created>
  <dcterms:modified xsi:type="dcterms:W3CDTF">2019-10-01T15:34:47Z</dcterms:modified>
</cp:coreProperties>
</file>