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210" yWindow="255" windowWidth="16350" windowHeight="660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27"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7" i="10" s="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C18" i="10" s="1"/>
  <c r="G14" i="13"/>
  <c r="H14" i="13"/>
  <c r="L207" i="1"/>
  <c r="L225" i="1"/>
  <c r="L243" i="1"/>
  <c r="G15" i="13"/>
  <c r="H15" i="13"/>
  <c r="L208" i="1"/>
  <c r="F662" i="1" s="1"/>
  <c r="L226" i="1"/>
  <c r="L244" i="1"/>
  <c r="G17" i="13"/>
  <c r="H17" i="13"/>
  <c r="L251" i="1"/>
  <c r="G18" i="13"/>
  <c r="H18" i="13"/>
  <c r="L252" i="1"/>
  <c r="D18" i="13" s="1"/>
  <c r="C18" i="13" s="1"/>
  <c r="G19" i="13"/>
  <c r="H19" i="13"/>
  <c r="L253" i="1"/>
  <c r="D19" i="13" s="1"/>
  <c r="C19" i="13" s="1"/>
  <c r="G29" i="13"/>
  <c r="H29" i="13"/>
  <c r="L358" i="1"/>
  <c r="L359" i="1"/>
  <c r="L360" i="1"/>
  <c r="H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E132" i="2" s="1"/>
  <c r="L255" i="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E56" i="2" s="1"/>
  <c r="I60" i="1"/>
  <c r="F56" i="2" s="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G147" i="1"/>
  <c r="G162" i="1"/>
  <c r="H147" i="1"/>
  <c r="E85" i="2" s="1"/>
  <c r="H162" i="1"/>
  <c r="I147" i="1"/>
  <c r="I162" i="1"/>
  <c r="C11" i="10"/>
  <c r="C12" i="10"/>
  <c r="L250" i="1"/>
  <c r="C113" i="2" s="1"/>
  <c r="L332" i="1"/>
  <c r="L254" i="1"/>
  <c r="L268" i="1"/>
  <c r="L269" i="1"/>
  <c r="L349" i="1"/>
  <c r="L350" i="1"/>
  <c r="E143" i="2" s="1"/>
  <c r="I665" i="1"/>
  <c r="I670" i="1"/>
  <c r="G662" i="1"/>
  <c r="I669" i="1"/>
  <c r="C42" i="10"/>
  <c r="L374" i="1"/>
  <c r="L375" i="1"/>
  <c r="L376" i="1"/>
  <c r="L377" i="1"/>
  <c r="L378" i="1"/>
  <c r="L379" i="1"/>
  <c r="L380" i="1"/>
  <c r="B2" i="10"/>
  <c r="L344" i="1"/>
  <c r="E134" i="2" s="1"/>
  <c r="L345" i="1"/>
  <c r="E135" i="2" s="1"/>
  <c r="L346" i="1"/>
  <c r="E137" i="2" s="1"/>
  <c r="L347" i="1"/>
  <c r="K351" i="1"/>
  <c r="L521" i="1"/>
  <c r="F549" i="1" s="1"/>
  <c r="L522" i="1"/>
  <c r="F550" i="1" s="1"/>
  <c r="L523" i="1"/>
  <c r="F551" i="1" s="1"/>
  <c r="L526" i="1"/>
  <c r="G549" i="1" s="1"/>
  <c r="L527" i="1"/>
  <c r="G550" i="1" s="1"/>
  <c r="L528" i="1"/>
  <c r="G551" i="1" s="1"/>
  <c r="L531" i="1"/>
  <c r="H549" i="1" s="1"/>
  <c r="L532" i="1"/>
  <c r="H550" i="1" s="1"/>
  <c r="H552" i="1" s="1"/>
  <c r="L533" i="1"/>
  <c r="H551" i="1" s="1"/>
  <c r="K551" i="1" s="1"/>
  <c r="L536" i="1"/>
  <c r="L537" i="1"/>
  <c r="I550" i="1" s="1"/>
  <c r="L538" i="1"/>
  <c r="I551" i="1" s="1"/>
  <c r="L541" i="1"/>
  <c r="J549" i="1" s="1"/>
  <c r="L542" i="1"/>
  <c r="L543" i="1"/>
  <c r="J551" i="1" s="1"/>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E31" i="2" s="1"/>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E77" i="2"/>
  <c r="F77" i="2"/>
  <c r="G77" i="2"/>
  <c r="G78" i="2" s="1"/>
  <c r="G81"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3" i="2"/>
  <c r="D115" i="2"/>
  <c r="F115" i="2"/>
  <c r="G115" i="2"/>
  <c r="C119" i="2"/>
  <c r="E119" i="2"/>
  <c r="E120" i="2"/>
  <c r="E121" i="2"/>
  <c r="C123" i="2"/>
  <c r="E123" i="2"/>
  <c r="E124" i="2"/>
  <c r="C125" i="2"/>
  <c r="E125" i="2"/>
  <c r="F128" i="2"/>
  <c r="G128" i="2"/>
  <c r="C130" i="2"/>
  <c r="D134" i="2"/>
  <c r="D144" i="2" s="1"/>
  <c r="F134" i="2"/>
  <c r="K419" i="1"/>
  <c r="K427" i="1"/>
  <c r="K433" i="1"/>
  <c r="L263" i="1"/>
  <c r="C135" i="2" s="1"/>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G503" i="1"/>
  <c r="C164" i="2" s="1"/>
  <c r="H503" i="1"/>
  <c r="D164" i="2" s="1"/>
  <c r="I503" i="1"/>
  <c r="E164" i="2" s="1"/>
  <c r="J503" i="1"/>
  <c r="F164" i="2" s="1"/>
  <c r="F19" i="1"/>
  <c r="G617" i="1" s="1"/>
  <c r="G19" i="1"/>
  <c r="H19" i="1"/>
  <c r="G619" i="1" s="1"/>
  <c r="I19" i="1"/>
  <c r="F32" i="1"/>
  <c r="F52" i="1" s="1"/>
  <c r="G32" i="1"/>
  <c r="G52" i="1" s="1"/>
  <c r="H618" i="1" s="1"/>
  <c r="H32" i="1"/>
  <c r="I32" i="1"/>
  <c r="H617" i="1"/>
  <c r="H51" i="1"/>
  <c r="H52" i="1" s="1"/>
  <c r="H619" i="1" s="1"/>
  <c r="I51" i="1"/>
  <c r="I52" i="1" s="1"/>
  <c r="H620" i="1" s="1"/>
  <c r="F177" i="1"/>
  <c r="I177" i="1"/>
  <c r="F183" i="1"/>
  <c r="G183" i="1"/>
  <c r="H183" i="1"/>
  <c r="I183" i="1"/>
  <c r="J183" i="1"/>
  <c r="J192" i="1" s="1"/>
  <c r="F188" i="1"/>
  <c r="G188" i="1"/>
  <c r="H188" i="1"/>
  <c r="I188" i="1"/>
  <c r="F211" i="1"/>
  <c r="G211" i="1"/>
  <c r="H211" i="1"/>
  <c r="I211" i="1"/>
  <c r="J211" i="1"/>
  <c r="K211" i="1"/>
  <c r="F229" i="1"/>
  <c r="F257" i="1" s="1"/>
  <c r="G229" i="1"/>
  <c r="H229" i="1"/>
  <c r="I229" i="1"/>
  <c r="J229" i="1"/>
  <c r="K229" i="1"/>
  <c r="F247" i="1"/>
  <c r="G247" i="1"/>
  <c r="H247" i="1"/>
  <c r="I247" i="1"/>
  <c r="J247" i="1"/>
  <c r="K247" i="1"/>
  <c r="F256" i="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F362" i="1"/>
  <c r="G362" i="1"/>
  <c r="H362" i="1"/>
  <c r="I362" i="1"/>
  <c r="G634" i="1" s="1"/>
  <c r="J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645" i="1" s="1"/>
  <c r="H408" i="1"/>
  <c r="H644" i="1" s="1"/>
  <c r="I408" i="1"/>
  <c r="L413" i="1"/>
  <c r="L414" i="1"/>
  <c r="L415" i="1"/>
  <c r="L419" i="1" s="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I446" i="1"/>
  <c r="G642" i="1" s="1"/>
  <c r="F452" i="1"/>
  <c r="G452" i="1"/>
  <c r="H452" i="1"/>
  <c r="H461" i="1" s="1"/>
  <c r="H641" i="1" s="1"/>
  <c r="J641" i="1" s="1"/>
  <c r="F460" i="1"/>
  <c r="F461" i="1" s="1"/>
  <c r="H639" i="1" s="1"/>
  <c r="J639" i="1" s="1"/>
  <c r="G460" i="1"/>
  <c r="H460" i="1"/>
  <c r="G461" i="1"/>
  <c r="H640" i="1" s="1"/>
  <c r="F470" i="1"/>
  <c r="G470" i="1"/>
  <c r="H470" i="1"/>
  <c r="H476" i="1" s="1"/>
  <c r="H624" i="1" s="1"/>
  <c r="I470" i="1"/>
  <c r="J470" i="1"/>
  <c r="F474" i="1"/>
  <c r="G474" i="1"/>
  <c r="H474" i="1"/>
  <c r="I474" i="1"/>
  <c r="J474" i="1"/>
  <c r="J476" i="1" s="1"/>
  <c r="H626" i="1" s="1"/>
  <c r="K495" i="1"/>
  <c r="K496" i="1"/>
  <c r="K497" i="1"/>
  <c r="K498" i="1"/>
  <c r="K499" i="1"/>
  <c r="K501" i="1"/>
  <c r="K502" i="1"/>
  <c r="F517" i="1"/>
  <c r="G517" i="1"/>
  <c r="H517" i="1"/>
  <c r="I517" i="1"/>
  <c r="F524" i="1"/>
  <c r="G524" i="1"/>
  <c r="G545" i="1" s="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5" i="1" s="1"/>
  <c r="L563" i="1"/>
  <c r="L564" i="1"/>
  <c r="F565" i="1"/>
  <c r="G565" i="1"/>
  <c r="H565" i="1"/>
  <c r="H571" i="1" s="1"/>
  <c r="I565" i="1"/>
  <c r="J565" i="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G618" i="1"/>
  <c r="G620" i="1"/>
  <c r="G622" i="1"/>
  <c r="G623" i="1"/>
  <c r="G625" i="1"/>
  <c r="H627" i="1"/>
  <c r="H628" i="1"/>
  <c r="H629" i="1"/>
  <c r="H630" i="1"/>
  <c r="H631" i="1"/>
  <c r="H632" i="1"/>
  <c r="H633" i="1"/>
  <c r="H634" i="1"/>
  <c r="H635" i="1"/>
  <c r="H636" i="1"/>
  <c r="H637" i="1"/>
  <c r="H638" i="1"/>
  <c r="G640" i="1"/>
  <c r="G641" i="1"/>
  <c r="G643" i="1"/>
  <c r="H643" i="1"/>
  <c r="J643" i="1" s="1"/>
  <c r="G644" i="1"/>
  <c r="J644" i="1" s="1"/>
  <c r="G650" i="1"/>
  <c r="G651" i="1"/>
  <c r="J651" i="1" s="1"/>
  <c r="G652" i="1"/>
  <c r="H652" i="1"/>
  <c r="G653" i="1"/>
  <c r="H653" i="1"/>
  <c r="G654" i="1"/>
  <c r="H654" i="1"/>
  <c r="H655" i="1"/>
  <c r="F192" i="1"/>
  <c r="G62" i="2"/>
  <c r="J617" i="1"/>
  <c r="E78" i="2"/>
  <c r="J257" i="1"/>
  <c r="I169" i="1"/>
  <c r="G476" i="1"/>
  <c r="H623" i="1" s="1"/>
  <c r="J623" i="1" s="1"/>
  <c r="J140" i="1"/>
  <c r="F571" i="1"/>
  <c r="H257" i="1"/>
  <c r="H271" i="1" s="1"/>
  <c r="H140" i="1"/>
  <c r="L560" i="1"/>
  <c r="F338" i="1"/>
  <c r="F352" i="1" s="1"/>
  <c r="G192" i="1"/>
  <c r="J655" i="1"/>
  <c r="I571" i="1"/>
  <c r="G157" i="2" l="1"/>
  <c r="E103" i="2"/>
  <c r="L247" i="1"/>
  <c r="G36" i="14" s="1"/>
  <c r="H36" i="14" s="1"/>
  <c r="I36" i="14" s="1"/>
  <c r="I545" i="1"/>
  <c r="L529" i="1"/>
  <c r="F81" i="2"/>
  <c r="D62" i="2"/>
  <c r="D63" i="2" s="1"/>
  <c r="K598" i="1"/>
  <c r="G647" i="1" s="1"/>
  <c r="J571" i="1"/>
  <c r="F476" i="1"/>
  <c r="H622" i="1" s="1"/>
  <c r="J622" i="1" s="1"/>
  <c r="L256" i="1"/>
  <c r="H192" i="1"/>
  <c r="D81" i="2"/>
  <c r="D31" i="2"/>
  <c r="F18" i="2"/>
  <c r="C18" i="2"/>
  <c r="D18" i="2"/>
  <c r="C32" i="10"/>
  <c r="H662" i="1"/>
  <c r="I662" i="1" s="1"/>
  <c r="L309" i="1"/>
  <c r="H545" i="1"/>
  <c r="C70" i="2"/>
  <c r="L401" i="1"/>
  <c r="C139" i="2" s="1"/>
  <c r="H169" i="1"/>
  <c r="L351" i="1"/>
  <c r="G645" i="1"/>
  <c r="J645" i="1" s="1"/>
  <c r="J640" i="1"/>
  <c r="G624" i="1"/>
  <c r="J624" i="1" s="1"/>
  <c r="L433" i="1"/>
  <c r="D91" i="2"/>
  <c r="L270" i="1"/>
  <c r="G552" i="1"/>
  <c r="J545" i="1"/>
  <c r="D50" i="2"/>
  <c r="K549" i="1"/>
  <c r="C26" i="10"/>
  <c r="C142" i="2"/>
  <c r="F112" i="1"/>
  <c r="C35" i="10"/>
  <c r="C36" i="10" s="1"/>
  <c r="L328" i="1"/>
  <c r="H660" i="1" s="1"/>
  <c r="H664" i="1" s="1"/>
  <c r="E122" i="2"/>
  <c r="E118" i="2"/>
  <c r="E128" i="2" s="1"/>
  <c r="L290" i="1"/>
  <c r="D15" i="13"/>
  <c r="C15" i="13" s="1"/>
  <c r="C124" i="2"/>
  <c r="G649" i="1"/>
  <c r="J649" i="1" s="1"/>
  <c r="C12" i="13"/>
  <c r="D6" i="13"/>
  <c r="C6" i="13" s="1"/>
  <c r="C118" i="2"/>
  <c r="C15" i="10"/>
  <c r="C111" i="2"/>
  <c r="E13" i="13"/>
  <c r="C13" i="13" s="1"/>
  <c r="C19" i="10"/>
  <c r="C122" i="2"/>
  <c r="I25" i="13"/>
  <c r="L534" i="1"/>
  <c r="C114" i="2"/>
  <c r="C62" i="2"/>
  <c r="C63" i="2" s="1"/>
  <c r="E57" i="2"/>
  <c r="E62" i="2" s="1"/>
  <c r="E63" i="2" s="1"/>
  <c r="J550" i="1"/>
  <c r="J552" i="1" s="1"/>
  <c r="L544" i="1"/>
  <c r="I549" i="1"/>
  <c r="I552" i="1" s="1"/>
  <c r="L539" i="1"/>
  <c r="F552" i="1"/>
  <c r="F130" i="2"/>
  <c r="F144" i="2" s="1"/>
  <c r="F145" i="2" s="1"/>
  <c r="F661" i="1"/>
  <c r="C25" i="10"/>
  <c r="C21" i="10"/>
  <c r="F169" i="1"/>
  <c r="C85" i="2"/>
  <c r="C91" i="2" s="1"/>
  <c r="L393" i="1"/>
  <c r="C138" i="2" s="1"/>
  <c r="C29" i="10"/>
  <c r="G22" i="13"/>
  <c r="C22" i="13" s="1"/>
  <c r="C13" i="10"/>
  <c r="E112" i="2"/>
  <c r="G661" i="1"/>
  <c r="C20" i="10"/>
  <c r="L211" i="1"/>
  <c r="H647" i="1"/>
  <c r="L614" i="1"/>
  <c r="L427" i="1"/>
  <c r="L434" i="1" s="1"/>
  <c r="G638" i="1" s="1"/>
  <c r="J638" i="1" s="1"/>
  <c r="I257" i="1"/>
  <c r="I271" i="1" s="1"/>
  <c r="K257" i="1"/>
  <c r="K271" i="1" s="1"/>
  <c r="G161" i="2"/>
  <c r="C121" i="2"/>
  <c r="C78" i="2"/>
  <c r="C81" i="2" s="1"/>
  <c r="J271" i="1"/>
  <c r="K571" i="1"/>
  <c r="K545" i="1"/>
  <c r="K500" i="1"/>
  <c r="I476" i="1"/>
  <c r="H625" i="1" s="1"/>
  <c r="J625" i="1" s="1"/>
  <c r="I460" i="1"/>
  <c r="I452" i="1"/>
  <c r="I461" i="1" s="1"/>
  <c r="H642" i="1" s="1"/>
  <c r="J642" i="1" s="1"/>
  <c r="H338" i="1"/>
  <c r="H352" i="1" s="1"/>
  <c r="F271" i="1"/>
  <c r="B164" i="2"/>
  <c r="G164" i="2" s="1"/>
  <c r="K503" i="1"/>
  <c r="G156" i="2"/>
  <c r="E109" i="2"/>
  <c r="E115" i="2" s="1"/>
  <c r="A13" i="12"/>
  <c r="D29" i="13"/>
  <c r="C29" i="13" s="1"/>
  <c r="D12" i="13"/>
  <c r="D5" i="13"/>
  <c r="C5" i="13" s="1"/>
  <c r="E8" i="13"/>
  <c r="C8" i="13" s="1"/>
  <c r="D14" i="13"/>
  <c r="C14" i="13" s="1"/>
  <c r="L382" i="1"/>
  <c r="G636" i="1" s="1"/>
  <c r="J636" i="1" s="1"/>
  <c r="K338" i="1"/>
  <c r="K352" i="1" s="1"/>
  <c r="G257" i="1"/>
  <c r="G271" i="1" s="1"/>
  <c r="E81" i="2"/>
  <c r="L524" i="1"/>
  <c r="J338" i="1"/>
  <c r="J352" i="1" s="1"/>
  <c r="D127" i="2"/>
  <c r="D128" i="2" s="1"/>
  <c r="D145" i="2" s="1"/>
  <c r="C120" i="2"/>
  <c r="C128" i="2" s="1"/>
  <c r="C16" i="10"/>
  <c r="D17" i="13"/>
  <c r="C17" i="13" s="1"/>
  <c r="D7" i="13"/>
  <c r="C7" i="13" s="1"/>
  <c r="E16" i="13"/>
  <c r="C16" i="13" s="1"/>
  <c r="C10" i="10"/>
  <c r="C109" i="2"/>
  <c r="L229" i="1"/>
  <c r="G24" i="14" s="1"/>
  <c r="L337" i="1"/>
  <c r="F62" i="2"/>
  <c r="F63" i="2" s="1"/>
  <c r="C23" i="10"/>
  <c r="G163" i="2"/>
  <c r="G162" i="2"/>
  <c r="G160" i="2"/>
  <c r="G159" i="2"/>
  <c r="G158" i="2"/>
  <c r="G103" i="2"/>
  <c r="F103" i="2"/>
  <c r="C103" i="2"/>
  <c r="C104" i="2" s="1"/>
  <c r="F91" i="2"/>
  <c r="E50" i="2"/>
  <c r="E51" i="2" s="1"/>
  <c r="C50" i="2"/>
  <c r="F31" i="2"/>
  <c r="C31" i="2"/>
  <c r="E18" i="2"/>
  <c r="E144" i="2"/>
  <c r="F50" i="2"/>
  <c r="F51" i="2" s="1"/>
  <c r="C24" i="10"/>
  <c r="H31" i="13"/>
  <c r="H33" i="13" s="1"/>
  <c r="I338" i="1"/>
  <c r="I352" i="1" s="1"/>
  <c r="J650" i="1"/>
  <c r="L407" i="1"/>
  <c r="C140" i="2" s="1"/>
  <c r="L571" i="1"/>
  <c r="I192" i="1"/>
  <c r="E91" i="2"/>
  <c r="D51" i="2"/>
  <c r="J654" i="1"/>
  <c r="J653" i="1"/>
  <c r="G21" i="2"/>
  <c r="G31" i="2" s="1"/>
  <c r="J32" i="1"/>
  <c r="J434" i="1"/>
  <c r="F434" i="1"/>
  <c r="K434" i="1"/>
  <c r="G134" i="2" s="1"/>
  <c r="G144" i="2" s="1"/>
  <c r="G145" i="2" s="1"/>
  <c r="G31" i="13"/>
  <c r="J193" i="1"/>
  <c r="G646" i="1" s="1"/>
  <c r="H193" i="1"/>
  <c r="G629" i="1" s="1"/>
  <c r="J629" i="1" s="1"/>
  <c r="G169" i="1"/>
  <c r="G140" i="1"/>
  <c r="F140" i="1"/>
  <c r="G63" i="2"/>
  <c r="J618" i="1"/>
  <c r="G42" i="2"/>
  <c r="J51" i="1"/>
  <c r="G16" i="2"/>
  <c r="G18" i="2" s="1"/>
  <c r="J19" i="1"/>
  <c r="G621" i="1" s="1"/>
  <c r="F545" i="1"/>
  <c r="H434" i="1"/>
  <c r="J620" i="1"/>
  <c r="J619" i="1"/>
  <c r="D103" i="2"/>
  <c r="I140" i="1"/>
  <c r="A22" i="12"/>
  <c r="G50" i="2"/>
  <c r="J652" i="1"/>
  <c r="G571" i="1"/>
  <c r="I434" i="1"/>
  <c r="G434" i="1"/>
  <c r="I663" i="1"/>
  <c r="C27" i="10"/>
  <c r="G635" i="1"/>
  <c r="J635" i="1" s="1"/>
  <c r="D104" i="2" l="1"/>
  <c r="E104" i="2"/>
  <c r="E33" i="13"/>
  <c r="D35" i="13" s="1"/>
  <c r="G51" i="2"/>
  <c r="F193" i="1"/>
  <c r="G627" i="1" s="1"/>
  <c r="J627" i="1" s="1"/>
  <c r="L257" i="1"/>
  <c r="L271" i="1" s="1"/>
  <c r="G632" i="1" s="1"/>
  <c r="J632" i="1" s="1"/>
  <c r="D31" i="13"/>
  <c r="C31" i="13" s="1"/>
  <c r="G33" i="13"/>
  <c r="F104" i="2"/>
  <c r="F660" i="1"/>
  <c r="F664" i="1" s="1"/>
  <c r="E145" i="2"/>
  <c r="J647" i="1"/>
  <c r="C39" i="10"/>
  <c r="L545" i="1"/>
  <c r="G4" i="14"/>
  <c r="H4" i="14" s="1"/>
  <c r="I4" i="14" s="1"/>
  <c r="H667" i="1"/>
  <c r="H672" i="1"/>
  <c r="C6" i="10" s="1"/>
  <c r="L338" i="1"/>
  <c r="L352" i="1" s="1"/>
  <c r="G633" i="1" s="1"/>
  <c r="J633" i="1" s="1"/>
  <c r="C115" i="2"/>
  <c r="K550" i="1"/>
  <c r="K552" i="1" s="1"/>
  <c r="I661" i="1"/>
  <c r="H648" i="1"/>
  <c r="J648" i="1" s="1"/>
  <c r="I193" i="1"/>
  <c r="G630" i="1" s="1"/>
  <c r="J630" i="1" s="1"/>
  <c r="G104" i="2"/>
  <c r="L408" i="1"/>
  <c r="C141" i="2"/>
  <c r="C144" i="2" s="1"/>
  <c r="G660" i="1"/>
  <c r="G664" i="1" s="1"/>
  <c r="G667" i="1" s="1"/>
  <c r="C25" i="13"/>
  <c r="I33" i="13"/>
  <c r="C28" i="10"/>
  <c r="D23" i="10" s="1"/>
  <c r="H24" i="14"/>
  <c r="I24" i="14" s="1"/>
  <c r="F672" i="1"/>
  <c r="C4" i="10" s="1"/>
  <c r="F667" i="1"/>
  <c r="C51" i="2"/>
  <c r="G631" i="1"/>
  <c r="J631" i="1" s="1"/>
  <c r="G193" i="1"/>
  <c r="G628" i="1" s="1"/>
  <c r="J628" i="1" s="1"/>
  <c r="G626" i="1"/>
  <c r="J626" i="1" s="1"/>
  <c r="J52" i="1"/>
  <c r="H621" i="1" s="1"/>
  <c r="J621" i="1" s="1"/>
  <c r="C38" i="10"/>
  <c r="I660" i="1" l="1"/>
  <c r="I664" i="1" s="1"/>
  <c r="I672" i="1" s="1"/>
  <c r="C7" i="10" s="1"/>
  <c r="C145" i="2"/>
  <c r="G672" i="1"/>
  <c r="C5" i="10" s="1"/>
  <c r="D25" i="10"/>
  <c r="G637" i="1"/>
  <c r="J637" i="1" s="1"/>
  <c r="H646" i="1"/>
  <c r="J646" i="1" s="1"/>
  <c r="D22" i="10"/>
  <c r="D18" i="10"/>
  <c r="D27" i="10"/>
  <c r="D15" i="10"/>
  <c r="D21" i="10"/>
  <c r="D24" i="10"/>
  <c r="D20" i="10"/>
  <c r="D11" i="10"/>
  <c r="D12" i="10"/>
  <c r="D13" i="10"/>
  <c r="D17" i="10"/>
  <c r="D19" i="10"/>
  <c r="D10" i="10"/>
  <c r="D26" i="10"/>
  <c r="C30" i="10"/>
  <c r="D16" i="10"/>
  <c r="D33" i="13"/>
  <c r="D36" i="13" s="1"/>
  <c r="C41" i="10"/>
  <c r="D38" i="10" s="1"/>
  <c r="I667" i="1" l="1"/>
  <c r="H656"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<sst xmlns="http://schemas.openxmlformats.org/spreadsheetml/2006/main" count="5509" uniqueCount="1610">
  <si>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</si>
  <si>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</si>
  <si>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</si>
  <si>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</si>
  <si>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</si>
  <si>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</si>
  <si>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</si>
  <si>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</si>
  <si>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</si>
  <si>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</si>
  <si>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</si>
  <si>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</si>
  <si>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</si>
  <si>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</si>
  <si>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</si>
  <si>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</si>
  <si>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</si>
  <si>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</si>
  <si>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</si>
  <si>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</si>
  <si>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</si>
  <si>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</si>
  <si>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</si>
  <si>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</si>
  <si>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</si>
  <si>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</si>
  <si>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</si>
  <si>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</si>
  <si>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</si>
  <si>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</si>
  <si>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</si>
  <si>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</si>
  <si>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</si>
  <si>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</si>
  <si>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</si>
  <si>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</si>
  <si>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</si>
  <si>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</si>
  <si>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</si>
  <si>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</si>
  <si>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</si>
  <si>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</si>
  <si>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</si>
  <si>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</si>
  <si>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</si>
  <si>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</si>
  <si>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</si>
  <si>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</si>
  <si>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</si>
  <si>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</si>
  <si>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</si>
  <si>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</si>
  <si>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</si>
  <si>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</si>
  <si>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</si>
  <si>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</si>
  <si>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</si>
  <si>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</si>
  <si>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</si>
  <si>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</si>
  <si>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</si>
  <si>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</si>
  <si>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</si>
  <si>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</si>
  <si>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</si>
  <si>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</si>
  <si>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</si>
  <si>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</si>
  <si>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</si>
  <si>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</si>
  <si>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</si>
  <si>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</si>
  <si>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</si>
  <si>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</si>
  <si>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</si>
  <si>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</si>
  <si>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</si>
  <si>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</si>
  <si>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</si>
  <si>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</si>
  <si>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</si>
  <si>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</si>
  <si>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</si>
  <si>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</si>
  <si>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</si>
  <si>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</si>
  <si>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</si>
  <si>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</si>
  <si>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</si>
  <si>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</si>
  <si>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</si>
  <si>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</si>
  <si>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</si>
  <si>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</si>
  <si>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</si>
  <si>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</si>
  <si>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</si>
  <si>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</si>
  <si>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</si>
  <si>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</si>
  <si>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</si>
  <si>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</si>
  <si>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</si>
  <si>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</si>
  <si>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</si>
  <si>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</si>
  <si>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</si>
  <si>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</si>
  <si>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</si>
  <si>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</si>
  <si>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</si>
  <si>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</si>
  <si>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</si>
  <si>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</si>
  <si>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</si>
  <si>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</si>
  <si>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</si>
  <si>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</si>
  <si>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</si>
  <si>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</si>
  <si>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</si>
  <si>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</si>
  <si>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</si>
  <si>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</si>
  <si>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</si>
  <si>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</si>
  <si>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</si>
  <si>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</si>
  <si>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</si>
  <si>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</si>
  <si>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</si>
  <si>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</si>
  <si>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</si>
  <si>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</si>
  <si>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</si>
  <si>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</si>
  <si>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</si>
  <si>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</si>
  <si>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</si>
  <si>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</si>
  <si>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</si>
  <si>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</si>
  <si>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</si>
  <si>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</si>
  <si>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</si>
  <si>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</si>
  <si>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</si>
  <si>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</si>
  <si>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</si>
  <si>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</si>
  <si>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</si>
  <si>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</si>
  <si>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</si>
  <si>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</si>
  <si>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</si>
  <si>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</si>
  <si>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</si>
  <si>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</si>
  <si>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</si>
  <si>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</si>
  <si>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</si>
  <si>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</si>
  <si>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</si>
  <si>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</si>
  <si>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</si>
  <si>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</si>
  <si>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</si>
  <si>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</si>
  <si>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</si>
  <si>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</si>
  <si>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</si>
  <si>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</si>
  <si>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</si>
  <si>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</si>
  <si>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</si>
  <si>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</si>
  <si>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</si>
  <si>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</si>
  <si>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</si>
  <si>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</si>
  <si>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</si>
  <si>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</si>
  <si>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</si>
  <si>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</si>
  <si>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</si>
  <si>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</si>
  <si>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</si>
  <si>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</si>
  <si>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</si>
  <si>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</si>
  <si>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</si>
  <si>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</si>
  <si>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</si>
  <si>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</si>
  <si>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</si>
  <si>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</si>
  <si>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</si>
  <si>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</si>
  <si>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</si>
  <si>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</si>
  <si>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</si>
  <si>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</si>
  <si>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</si>
  <si>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</si>
  <si>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</si>
  <si>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</si>
  <si>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</si>
  <si>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</si>
  <si>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</si>
  <si>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</si>
  <si>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</si>
  <si>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</si>
  <si>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</si>
  <si>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</si>
  <si>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</si>
  <si>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</si>
  <si>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</si>
  <si>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</si>
  <si>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</si>
  <si>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</si>
  <si>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</si>
  <si>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</si>
  <si>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</si>
  <si>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</si>
  <si>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</si>
  <si>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</si>
  <si>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</si>
  <si>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</si>
  <si>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</si>
  <si>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</si>
  <si>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</si>
  <si>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</si>
  <si>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</si>
  <si>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</si>
  <si>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</si>
  <si>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</si>
  <si>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</si>
  <si>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</si>
  <si>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</si>
  <si>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</si>
  <si>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</si>
  <si>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</si>
  <si>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</si>
  <si>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</si>
  <si>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</si>
  <si>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</si>
  <si>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</si>
  <si>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</si>
  <si>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</si>
  <si>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</si>
  <si>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</si>
  <si>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</si>
  <si>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</si>
  <si>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</si>
  <si>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</si>
  <si>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</si>
  <si>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</si>
  <si>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</si>
  <si>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</si>
  <si>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</si>
  <si>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</si>
  <si>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</si>
  <si>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</si>
  <si>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</si>
  <si>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</si>
  <si>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</si>
  <si>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</si>
  <si>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</si>
  <si>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</si>
  <si>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</si>
  <si>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</si>
  <si>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</si>
  <si>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</si>
  <si>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</si>
  <si>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</si>
  <si>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</si>
  <si>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</si>
  <si>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</si>
  <si>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</si>
  <si>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</si>
  <si>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</si>
  <si>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</si>
  <si>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</si>
  <si>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</si>
  <si>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</si>
  <si>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</si>
  <si>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</si>
  <si>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</si>
  <si>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</si>
  <si>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</si>
  <si>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</si>
  <si>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</si>
  <si>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</si>
  <si>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</si>
  <si>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</si>
  <si>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</si>
  <si>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</si>
  <si>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</si>
  <si>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</si>
  <si>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</si>
  <si>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</si>
  <si>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</si>
  <si>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</si>
  <si>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</si>
  <si>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</si>
  <si>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</si>
  <si>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</si>
  <si>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</si>
  <si>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</si>
  <si>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</si>
  <si>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</si>
  <si>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</si>
  <si>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</si>
  <si>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</si>
  <si>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</si>
  <si>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</si>
  <si>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</si>
  <si>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</si>
  <si>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</si>
  <si>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</si>
  <si>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</si>
  <si>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</si>
  <si>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</si>
  <si>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</si>
  <si>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</si>
  <si>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</si>
  <si>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</si>
  <si>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</si>
  <si>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</si>
  <si>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</si>
  <si>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</si>
  <si>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</si>
  <si>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</si>
  <si>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</si>
  <si>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</si>
  <si>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</si>
  <si>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</si>
  <si>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</si>
  <si>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</si>
  <si>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</si>
  <si>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</si>
  <si>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</si>
  <si>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</si>
  <si>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</si>
  <si>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</si>
  <si>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</si>
  <si>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</si>
  <si>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</si>
  <si>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</si>
  <si>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</si>
  <si>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</si>
  <si>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</si>
  <si>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</si>
  <si>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</si>
  <si>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</si>
  <si>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</si>
  <si>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</si>
  <si>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</si>
  <si>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</si>
  <si>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</si>
  <si>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</si>
  <si>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</si>
  <si>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</si>
  <si>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</si>
  <si>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</si>
  <si>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</si>
  <si>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</si>
  <si>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</si>
  <si>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</si>
  <si>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</si>
  <si>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</si>
  <si>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</si>
  <si>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</si>
  <si>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</si>
  <si>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</si>
  <si>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</si>
  <si>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</si>
  <si>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</si>
  <si>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</si>
  <si>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</si>
  <si>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</si>
  <si>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</si>
  <si>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</si>
  <si>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</si>
  <si>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</si>
  <si>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</si>
  <si>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</si>
  <si>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</si>
  <si>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</si>
  <si>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</si>
  <si>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</si>
  <si>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</si>
  <si>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</si>
  <si>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</si>
  <si>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</si>
  <si>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</si>
  <si>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</si>
  <si>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</si>
  <si>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</si>
  <si>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</si>
  <si>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</si>
  <si>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</si>
  <si>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</si>
  <si>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</si>
  <si>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</si>
  <si>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</si>
  <si>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</si>
  <si>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</si>
  <si>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</si>
  <si>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</si>
  <si>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</si>
  <si>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</si>
  <si>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</si>
  <si>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</si>
  <si>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</si>
  <si>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</si>
  <si>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</si>
  <si>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</si>
  <si>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</si>
  <si>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</si>
  <si>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</si>
  <si>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</si>
  <si>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</si>
  <si>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</si>
  <si>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</si>
  <si>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</si>
  <si>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</si>
  <si>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</si>
  <si>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</si>
  <si>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</si>
  <si>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</si>
  <si>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</si>
  <si>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</si>
  <si>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</si>
  <si>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</si>
  <si>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</si>
  <si>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</si>
  <si>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</si>
  <si>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</si>
  <si>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</si>
  <si>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</si>
  <si>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</si>
  <si>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</si>
  <si>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</si>
  <si>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</si>
  <si>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</si>
  <si>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</si>
  <si>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</si>
  <si>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</si>
  <si>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</si>
  <si>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</si>
  <si>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</si>
  <si>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</si>
  <si>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</si>
  <si>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</si>
  <si>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</si>
  <si>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</si>
  <si>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</si>
  <si>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</si>
  <si>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</si>
  <si>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</si>
  <si>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</si>
  <si>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</si>
  <si>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</si>
  <si>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</si>
  <si>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</si>
  <si>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</si>
  <si>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</si>
  <si>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</si>
  <si>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</si>
  <si>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</si>
  <si>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</si>
  <si>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</si>
  <si>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</si>
  <si>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</si>
  <si>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</si>
  <si>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</si>
  <si>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</si>
  <si>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</si>
  <si>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</si>
  <si>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</si>
  <si>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</si>
  <si>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</si>
  <si>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</si>
  <si>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</si>
  <si>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</si>
  <si>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</si>
  <si>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</si>
  <si>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</si>
  <si>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</si>
  <si>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</si>
  <si>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</si>
  <si>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</si>
  <si>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</si>
  <si>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</si>
  <si>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</si>
  <si>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</si>
  <si>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</si>
  <si>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</si>
  <si>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</si>
  <si>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</si>
  <si>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</si>
  <si>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</si>
  <si>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</si>
  <si>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</si>
  <si>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</si>
  <si>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</si>
  <si>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</si>
  <si>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</si>
  <si>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</si>
  <si>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</si>
  <si>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</si>
  <si>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</si>
  <si>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</si>
  <si>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</si>
  <si>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</si>
  <si>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</si>
  <si>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</si>
  <si>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</si>
  <si>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</si>
  <si>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</si>
  <si>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</si>
  <si>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</si>
  <si>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</si>
  <si>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</si>
  <si>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</si>
  <si>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</si>
  <si>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</si>
  <si>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</si>
  <si>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</si>
  <si>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</si>
  <si>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</si>
  <si>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</si>
  <si>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</si>
  <si>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</si>
  <si>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</si>
  <si>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</si>
  <si>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</si>
  <si>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</si>
  <si>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</si>
  <si>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</si>
  <si>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</si>
  <si>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</si>
  <si>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</si>
  <si>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</si>
  <si>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</si>
  <si>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</si>
  <si>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</si>
  <si>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</si>
  <si>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</si>
  <si>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</si>
  <si>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</si>
  <si>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</si>
  <si>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</si>
  <si>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</si>
  <si>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</si>
  <si>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</si>
  <si>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</si>
  <si>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</si>
  <si>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</si>
  <si>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</si>
  <si>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</si>
  <si>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</si>
  <si>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</si>
  <si>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</si>
  <si>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</si>
  <si>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</si>
  <si>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</si>
  <si>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</si>
  <si>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</si>
  <si>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</si>
  <si>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</si>
  <si>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</si>
  <si>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</si>
  <si>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</si>
  <si>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</si>
  <si>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</si>
  <si>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</si>
  <si>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</si>
  <si>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</si>
  <si>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</si>
  <si>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</si>
  <si>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</si>
  <si>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</si>
  <si>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</si>
  <si>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</si>
  <si>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</si>
  <si>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</si>
  <si>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</si>
  <si>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</si>
  <si>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</si>
  <si>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</si>
  <si>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</si>
  <si>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</si>
  <si>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</si>
  <si>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</si>
  <si>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</si>
  <si>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</si>
  <si>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</si>
  <si>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</si>
  <si>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</si>
  <si>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</si>
  <si>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</si>
  <si>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</si>
  <si>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</si>
  <si>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</si>
  <si>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</si>
  <si>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</si>
  <si>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</si>
  <si>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</si>
  <si>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</si>
  <si>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</si>
  <si>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</si>
  <si>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</si>
  <si>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</si>
  <si>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</si>
  <si>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</si>
  <si>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</si>
  <si>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</si>
  <si>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</si>
  <si>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</si>
  <si>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</si>
  <si>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</si>
  <si>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</si>
  <si>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</si>
  <si>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</si>
  <si>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</si>
  <si>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</si>
  <si>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</si>
  <si>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</si>
  <si>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</si>
  <si>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</si>
  <si>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</si>
  <si>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</si>
  <si>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</si>
  <si>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</si>
  <si>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</si>
  <si>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</si>
  <si>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</si>
  <si>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</si>
  <si>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</si>
  <si>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</si>
  <si>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</si>
  <si>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</si>
  <si>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</si>
  <si>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</si>
  <si>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</si>
  <si>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</si>
  <si>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</si>
  <si>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</si>
  <si>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</si>
  <si>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</si>
  <si>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</si>
  <si>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</si>
  <si>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</si>
  <si>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</si>
  <si>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</si>
  <si>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</si>
  <si>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</si>
  <si>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</si>
  <si>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</si>
  <si>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</si>
  <si>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</si>
  <si>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</si>
  <si>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</si>
  <si>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</si>
  <si>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</si>
  <si>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</si>
  <si>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</si>
  <si>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</si>
  <si>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</si>
  <si>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</si>
  <si>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</si>
  <si>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</si>
  <si>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</si>
  <si>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</si>
  <si>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</si>
  <si>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</si>
  <si>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</si>
  <si>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</si>
  <si>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</si>
  <si>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</si>
  <si>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</si>
  <si>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</si>
  <si>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</si>
  <si>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</si>
  <si>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</si>
  <si>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</si>
  <si>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</si>
  <si>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</si>
  <si>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</si>
  <si>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</si>
  <si>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</si>
  <si>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</si>
  <si>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</si>
  <si>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</si>
  <si>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</si>
  <si>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</si>
  <si>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</si>
  <si>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</si>
  <si>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</si>
  <si>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</si>
  <si>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</si>
  <si>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</si>
  <si>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</si>
  <si>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</si>
  <si>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</si>
  <si>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</si>
  <si>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</si>
  <si>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</si>
  <si>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</si>
  <si>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</si>
  <si>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</si>
  <si>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</si>
  <si>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</si>
  <si>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</si>
  <si>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</si>
  <si>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</si>
  <si>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</si>
  <si>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</si>
  <si>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</si>
  <si>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</si>
  <si>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</si>
  <si>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</si>
  <si>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</si>
  <si>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</si>
  <si>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</si>
  <si>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</si>
  <si>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</si>
  <si>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</si>
  <si>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</si>
  <si>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</si>
  <si>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</si>
  <si>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</si>
  <si>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</si>
  <si>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</si>
  <si>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</si>
  <si>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</si>
  <si>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</si>
  <si>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</si>
  <si>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</si>
  <si>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</si>
  <si>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</si>
  <si>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</si>
  <si>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</si>
  <si>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</si>
  <si>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</si>
  <si>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</si>
  <si>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</si>
  <si>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</si>
  <si>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</si>
  <si>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</si>
  <si>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</si>
  <si>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</si>
  <si>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</si>
  <si>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</si>
  <si>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</si>
  <si>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</si>
  <si>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</si>
  <si>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</si>
  <si>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</si>
  <si>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</si>
  <si>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</si>
  <si>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</si>
  <si>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</si>
  <si>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</si>
  <si>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</si>
  <si>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</si>
  <si>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</si>
  <si>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</si>
  <si>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</si>
  <si>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</si>
  <si>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</si>
  <si>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</si>
  <si>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</si>
  <si>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</si>
  <si>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</si>
  <si>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</si>
  <si>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</si>
  <si>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</si>
  <si>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</si>
  <si>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</si>
  <si>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</si>
  <si>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</si>
  <si>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</si>
  <si>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</si>
  <si>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</si>
  <si>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</si>
  <si>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</si>
  <si>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</si>
  <si>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</si>
  <si>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</si>
  <si>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</si>
  <si>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</si>
  <si>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</si>
  <si>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</si>
  <si>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</si>
  <si>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</si>
  <si>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</si>
  <si>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</si>
  <si>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</si>
  <si>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</si>
  <si>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</si>
  <si>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</si>
  <si>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</si>
  <si>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</si>
  <si>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</si>
  <si>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</si>
  <si>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</si>
  <si>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</si>
  <si>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</si>
  <si>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</si>
  <si>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</si>
  <si>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</si>
  <si>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</si>
  <si>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</si>
  <si>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</si>
  <si>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</si>
  <si>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</si>
  <si>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</si>
  <si>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</si>
  <si>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</si>
  <si>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</si>
  <si>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</si>
  <si>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</si>
  <si>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</si>
  <si>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</si>
  <si>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</si>
  <si>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</si>
  <si>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</si>
  <si>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</si>
  <si>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</si>
  <si>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</si>
  <si>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</si>
  <si>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</si>
  <si>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</si>
  <si>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</si>
  <si>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</si>
  <si>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</si>
  <si>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</si>
  <si>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</si>
  <si>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</si>
  <si>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</si>
  <si>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</si>
  <si>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</si>
  <si>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</si>
  <si>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</si>
  <si>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</si>
  <si>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</si>
  <si>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</si>
  <si>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</si>
  <si>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</si>
  <si>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</si>
  <si>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</si>
  <si>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</si>
  <si>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</si>
  <si>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</si>
  <si>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</si>
  <si>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</si>
  <si>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</si>
  <si>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</si>
  <si>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</si>
  <si>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</si>
  <si>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</si>
  <si>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</si>
  <si>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</si>
  <si>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</si>
  <si>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</si>
  <si>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</si>
  <si>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</si>
  <si>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</si>
  <si>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</si>
  <si>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</si>
  <si>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</si>
  <si>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</si>
  <si>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</si>
  <si>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</si>
  <si>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</si>
  <si>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</si>
  <si>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</si>
  <si>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</si>
  <si>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</si>
  <si>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</si>
  <si>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</si>
  <si>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</si>
  <si>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</si>
  <si>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</si>
  <si>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</si>
  <si>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</si>
  <si>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</si>
  <si>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</si>
  <si>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</si>
  <si>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</si>
  <si>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</si>
  <si>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</si>
  <si>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</si>
  <si>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</si>
  <si>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</si>
  <si>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</si>
  <si>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</si>
  <si>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</si>
  <si>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</si>
  <si>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</si>
  <si>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</si>
  <si>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</si>
  <si>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</si>
  <si>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</si>
  <si>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</si>
  <si>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</si>
  <si>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</si>
  <si>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</si>
  <si>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</si>
  <si>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</si>
  <si>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</si>
  <si>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</si>
  <si>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</si>
  <si>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</si>
  <si>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</si>
  <si>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</si>
  <si>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</si>
  <si>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</si>
  <si>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</si>
  <si>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</si>
  <si>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</si>
  <si>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</si>
  <si>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</si>
  <si>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</si>
  <si>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</si>
  <si>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</si>
  <si>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</si>
  <si>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</si>
  <si>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</si>
  <si>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</si>
  <si>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</si>
  <si>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</si>
  <si>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</si>
  <si>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</si>
  <si>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</si>
  <si>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</si>
  <si>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</si>
  <si>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</si>
  <si>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</si>
  <si>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</si>
  <si>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</si>
  <si>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</si>
  <si>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</si>
  <si>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</si>
  <si>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</si>
  <si>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</si>
  <si>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</si>
  <si>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</si>
  <si>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</si>
  <si>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</si>
  <si>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</si>
  <si>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</si>
  <si>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</si>
  <si>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</si>
  <si>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</si>
  <si>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</si>
  <si>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</si>
  <si>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</si>
  <si>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</si>
  <si>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</si>
  <si>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</si>
  <si>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</si>
  <si>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</si>
  <si>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</si>
  <si>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</si>
  <si>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</si>
  <si>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</si>
  <si>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</si>
  <si>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</si>
  <si>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</si>
  <si>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</si>
  <si>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</si>
  <si>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</si>
  <si>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</si>
  <si>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</si>
  <si>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</si>
  <si>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</si>
  <si>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</si>
  <si>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</si>
  <si>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</si>
  <si>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</si>
  <si>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</si>
  <si>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</si>
  <si>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</si>
  <si>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</si>
  <si>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</si>
  <si>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</si>
  <si>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</si>
  <si>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</si>
  <si>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</si>
  <si>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</si>
  <si>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</si>
  <si>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</si>
  <si>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</si>
  <si>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</si>
  <si>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</si>
  <si>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</si>
  <si>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</si>
  <si>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</si>
  <si>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</si>
  <si>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</si>
  <si>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</si>
  <si>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</si>
  <si>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</si>
  <si>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</si>
  <si>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</si>
  <si>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</si>
  <si>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</si>
  <si>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</si>
  <si>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</si>
  <si>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</si>
  <si>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</si>
  <si>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</si>
  <si>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</si>
  <si>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</si>
  <si>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</si>
  <si>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</si>
  <si>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</si>
  <si>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</si>
  <si>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</si>
  <si>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</si>
  <si>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</si>
  <si>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</si>
  <si>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</si>
  <si>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</si>
  <si>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</si>
  <si>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</si>
  <si>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</si>
  <si>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</si>
  <si>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</si>
  <si>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</si>
  <si>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</si>
  <si>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</si>
  <si>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</si>
  <si>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</si>
  <si>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</si>
  <si>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</si>
  <si>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</si>
  <si>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</si>
  <si>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</si>
  <si>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</si>
  <si>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</si>
  <si>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</si>
  <si>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</si>
  <si>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</si>
  <si>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</si>
  <si>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</si>
  <si>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</si>
  <si>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</si>
  <si>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</si>
  <si>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</si>
  <si>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</si>
  <si>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</si>
  <si>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</si>
  <si>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</si>
  <si>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</si>
  <si>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</si>
  <si>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</si>
  <si>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</si>
  <si>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</si>
  <si>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</si>
  <si>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</si>
  <si>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</si>
  <si>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</si>
  <si>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</si>
  <si>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</si>
  <si>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</si>
  <si>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</si>
  <si>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</si>
  <si>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</si>
  <si>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</si>
  <si>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</si>
  <si>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</si>
  <si>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</si>
  <si>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</si>
  <si>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</si>
  <si>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</si>
  <si>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</si>
  <si>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</si>
  <si>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</si>
  <si>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</si>
  <si>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</si>
  <si>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</si>
  <si>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</si>
  <si>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</si>
  <si>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</si>
  <si>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</si>
  <si>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</si>
  <si>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</si>
  <si>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</si>
  <si>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</si>
  <si>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</si>
  <si>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</si>
  <si>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</si>
  <si>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</si>
  <si>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</si>
  <si>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</si>
  <si>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</si>
  <si>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</si>
  <si>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</si>
  <si>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</si>
  <si>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</si>
  <si>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</si>
  <si>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</si>
  <si>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</si>
  <si>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</si>
  <si>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</si>
  <si>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</si>
  <si>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</si>
  <si>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</si>
  <si>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</si>
  <si>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</si>
  <si>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</si>
  <si>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</si>
  <si>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</si>
  <si>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</si>
  <si>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</si>
  <si>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</si>
  <si>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</si>
  <si>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</si>
  <si>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</si>
  <si>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</si>
  <si>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</si>
  <si>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</si>
  <si>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</si>
  <si>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</si>
  <si>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</si>
  <si>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</si>
  <si>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</si>
  <si>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</si>
  <si>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</si>
  <si>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</si>
  <si>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</si>
  <si>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</si>
  <si>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</si>
  <si>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</si>
  <si>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</si>
  <si>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</si>
  <si>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</si>
  <si>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</si>
  <si>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</si>
  <si>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</si>
  <si>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</si>
  <si>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</si>
  <si>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</si>
  <si>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</si>
  <si>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</si>
  <si>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</si>
  <si>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</si>
  <si>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</si>
  <si>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</si>
  <si>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</si>
  <si>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</si>
  <si>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</si>
  <si>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</si>
  <si>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</si>
  <si>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</si>
  <si>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</si>
  <si>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</si>
  <si>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</si>
  <si>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</si>
  <si>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</si>
  <si>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</si>
  <si>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</si>
  <si>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</si>
  <si>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</si>
  <si>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</si>
  <si>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</si>
  <si>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</si>
  <si>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</si>
  <si>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</si>
  <si>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</si>
  <si>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</si>
  <si>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</si>
  <si>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</si>
  <si>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</si>
  <si>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</si>
  <si>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</si>
  <si>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</si>
  <si>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</si>
  <si>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</si>
  <si>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</si>
  <si>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</si>
  <si>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</si>
  <si>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</si>
  <si>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</si>
  <si>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</si>
  <si>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</si>
  <si>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</si>
  <si>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</si>
  <si>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</si>
  <si>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</si>
  <si>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</si>
  <si>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</si>
  <si>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</si>
  <si>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</si>
  <si>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</si>
  <si>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</si>
  <si>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</si>
  <si>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</si>
  <si>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</si>
  <si>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</si>
  <si>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</si>
  <si>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</si>
  <si>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</si>
  <si>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</si>
  <si>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</si>
  <si>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</si>
  <si>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</si>
  <si>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</si>
  <si>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</si>
  <si>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</si>
  <si>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</si>
  <si>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</si>
  <si>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</si>
  <si>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</si>
  <si>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</si>
  <si>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</si>
  <si>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</si>
  <si>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</si>
  <si>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</si>
  <si>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</si>
  <si>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</si>
  <si>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</si>
  <si>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</si>
  <si>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</si>
  <si>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</si>
  <si>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</si>
  <si>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</si>
  <si>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</si>
  <si>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</si>
  <si>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</si>
  <si>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</si>
  <si>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</si>
  <si>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</si>
  <si>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</si>
  <si>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</si>
  <si>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</si>
  <si>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</si>
  <si>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</si>
  <si>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</si>
  <si>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</si>
  <si>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</si>
  <si>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</si>
  <si>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</si>
  <si>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</si>
  <si>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</si>
  <si>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</si>
  <si>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</si>
  <si>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</si>
  <si>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</si>
  <si>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</si>
  <si>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</si>
  <si>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</si>
  <si>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</si>
  <si>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</si>
  <si>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</si>
  <si>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</si>
  <si>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</si>
  <si>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</si>
  <si>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</si>
  <si>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</si>
  <si>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</si>
  <si>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</si>
  <si>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</si>
  <si>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</si>
  <si>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</si>
  <si>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</si>
  <si>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</si>
  <si>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</si>
  <si>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</si>
  <si>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</si>
  <si>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</si>
  <si>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</si>
  <si>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</si>
  <si>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</si>
  <si>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</si>
  <si>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</si>
  <si>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</si>
  <si>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</si>
  <si>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</si>
  <si>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</si>
  <si>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</si>
  <si>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</si>
  <si>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</si>
  <si>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</si>
  <si>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</si>
  <si>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</si>
  <si>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</si>
  <si>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</si>
  <si>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</si>
  <si>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</si>
  <si>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</si>
  <si>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</si>
  <si>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</si>
  <si>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</si>
  <si>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</si>
  <si>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</si>
  <si>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</si>
  <si>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</si>
  <si>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</si>
  <si>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</si>
  <si>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</si>
  <si>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</si>
  <si>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</si>
  <si>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</si>
  <si>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</si>
  <si>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</si>
  <si>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</si>
  <si>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</si>
  <si>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</si>
  <si>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</si>
  <si>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</si>
  <si>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</si>
  <si>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</si>
  <si>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</si>
  <si>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</si>
  <si>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</si>
  <si>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</si>
  <si>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</si>
  <si>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</si>
  <si>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</si>
  <si>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</si>
  <si>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</si>
  <si>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</si>
  <si>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</si>
  <si>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</si>
  <si>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</si>
  <si>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</si>
  <si>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</si>
  <si>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</si>
  <si>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</si>
  <si>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</si>
  <si>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</si>
  <si>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</si>
  <si>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</si>
  <si>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</si>
  <si>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</si>
  <si>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</si>
  <si>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</si>
  <si>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</si>
  <si>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</si>
  <si>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</si>
  <si>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</si>
  <si>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</si>
  <si>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</si>
  <si>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</si>
  <si>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</si>
  <si>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</si>
  <si>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</si>
  <si>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</si>
  <si>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</si>
  <si>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</si>
  <si>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</si>
  <si>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</si>
  <si>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</si>
  <si>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</si>
  <si>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</si>
  <si>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</si>
  <si>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</si>
  <si>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</si>
  <si>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</si>
  <si>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</si>
  <si>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</si>
  <si>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</si>
  <si>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</si>
  <si>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</si>
  <si>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</si>
  <si>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</si>
  <si>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</si>
  <si>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</si>
  <si>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</si>
  <si>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</si>
  <si>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</si>
  <si>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</si>
  <si>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</si>
  <si>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</si>
  <si>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</si>
  <si>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</si>
  <si>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</si>
  <si>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</si>
  <si>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</si>
  <si>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</si>
  <si>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</si>
  <si>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</si>
  <si>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</si>
  <si>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</si>
  <si>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</si>
  <si>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</si>
  <si>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</si>
  <si>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</si>
  <si>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</si>
  <si>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</si>
  <si>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</si>
  <si>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</si>
  <si>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</si>
  <si>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</si>
  <si>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</si>
  <si>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</si>
  <si>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</si>
  <si>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</si>
  <si>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</si>
  <si>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</si>
  <si>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</si>
  <si>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</si>
  <si>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</si>
  <si>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</si>
  <si>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</si>
  <si>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</si>
  <si>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</si>
  <si>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</si>
  <si>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</si>
  <si>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</si>
  <si>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</si>
  <si>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</si>
  <si>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</si>
  <si>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</si>
  <si>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</si>
  <si>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</si>
  <si>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</si>
  <si>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</si>
  <si>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</si>
  <si>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</si>
  <si>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</si>
  <si>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</si>
  <si>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</si>
  <si>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</si>
  <si>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</si>
  <si>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</si>
  <si>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</si>
  <si>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</si>
  <si>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</si>
  <si>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</si>
  <si>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</si>
  <si>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</si>
  <si>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</si>
  <si>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</si>
  <si>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</si>
  <si>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</si>
  <si>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</si>
  <si>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</si>
  <si>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</si>
  <si>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</si>
  <si>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</si>
  <si>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</si>
  <si>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</si>
  <si>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</si>
  <si>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</si>
  <si>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</si>
  <si>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</si>
  <si>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</si>
  <si>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</si>
  <si>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</si>
  <si>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</si>
  <si>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</si>
  <si>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</si>
  <si>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</si>
  <si>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</si>
  <si>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</si>
  <si>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</si>
  <si>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</si>
  <si>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</si>
  <si>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</si>
  <si>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</si>
  <si>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</si>
  <si>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</si>
  <si>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</si>
  <si>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</si>
  <si>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</si>
  <si>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</si>
  <si>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</si>
  <si>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</si>
  <si>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</si>
  <si>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</si>
  <si>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</si>
  <si>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</si>
  <si>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</si>
  <si>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</si>
  <si>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</si>
  <si>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</si>
  <si>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</si>
  <si>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</si>
  <si>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</si>
  <si>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</si>
  <si>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</si>
  <si>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</si>
  <si>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</si>
  <si>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</si>
  <si>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</si>
  <si>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</si>
  <si>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</si>
  <si>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</si>
  <si>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</si>
  <si>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</si>
  <si>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</si>
  <si>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</si>
  <si>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</si>
  <si>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</si>
  <si>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</si>
  <si>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</si>
  <si>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</si>
  <si>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</si>
  <si>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</si>
  <si>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</si>
  <si>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</si>
  <si>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</si>
  <si>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</si>
  <si>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</si>
  <si>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</si>
  <si>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</si>
  <si>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</si>
  <si>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</si>
  <si>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</si>
  <si>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</si>
  <si>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</si>
  <si>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</si>
  <si>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</si>
  <si>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</si>
  <si>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</si>
  <si>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</si>
  <si>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</si>
  <si>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</si>
  <si>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</si>
  <si>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</si>
  <si>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</si>
  <si>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</si>
  <si>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</si>
  <si>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</si>
  <si>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</si>
  <si>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</si>
  <si>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</si>
  <si>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</si>
  <si>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</si>
  <si>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</si>
  <si>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</si>
  <si>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</si>
  <si>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</si>
  <si>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</si>
  <si>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</si>
  <si>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</si>
  <si>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</si>
  <si>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</si>
  <si>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</si>
  <si>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</si>
  <si>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</si>
  <si>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</si>
  <si>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</si>
  <si>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</si>
  <si>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</si>
  <si>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</si>
  <si>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</si>
  <si>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</si>
  <si>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</si>
  <si>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</si>
  <si>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</si>
  <si>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</si>
  <si>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</si>
  <si>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</si>
  <si>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</si>
  <si>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</si>
  <si>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</si>
  <si>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</si>
  <si>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</si>
  <si>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</si>
  <si>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</si>
  <si>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</si>
  <si>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</si>
  <si>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</si>
  <si>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</si>
  <si>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</si>
  <si>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</si>
  <si>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</si>
  <si>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</si>
  <si>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</si>
  <si>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</si>
  <si>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</si>
  <si>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</si>
  <si>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</si>
  <si>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</si>
  <si>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</si>
  <si>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</si>
  <si>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</si>
  <si>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</si>
  <si>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</si>
  <si>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</si>
  <si>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</si>
  <si>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</si>
  <si>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</si>
  <si>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</si>
  <si>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</si>
  <si>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</si>
  <si>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</si>
  <si>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</si>
  <si>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</si>
  <si>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</si>
  <si>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</si>
  <si>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</si>
  <si>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</si>
  <si>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</si>
  <si>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</si>
  <si>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</si>
  <si>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</si>
  <si>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</si>
  <si>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</si>
  <si>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</si>
  <si>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</si>
  <si>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Milford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</si>
</sst>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4" activePane="bottomRight" state="frozen"/>
      <selection pane="topRight" activeCell="F1" sqref="F1"/>
      <selection pane="bottomLeft" activeCell="A4" sqref="A4"/>
      <selection pane="bottomRight" activeCell="C2" sqref="C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357</v>
      </c>
      <c r="C2" s="21">
        <v>357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1199380.1300000001</v>
      </c>
      <c r="G9" s="18">
        <v>365</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176244.06</v>
      </c>
      <c r="G12" s="18">
        <v>110334.78</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99170.1</v>
      </c>
      <c r="G13" s="18">
        <v>12264.81</v>
      </c>
      <c r="H13" s="18">
        <v>219059.25</v>
      </c>
      <c r="I13" s="18">
        <v>248057.44</v>
      </c>
      <c r="J13" s="67">
        <f>SUM(I442)</f>
        <v>4769668.3900000006</v>
      </c>
      <c r="K13" s="24" t="s">
        <v>288</v>
      </c>
      <c r="L13" s="24" t="s">
        <v>288</v>
      </c>
      <c r="M13" s="8"/>
      <c r="N13" s="266"/>
    </row>
    <row r="14" spans="1:14" s="3" customFormat="1" ht="12.2" customHeight="1" x14ac:dyDescent="0.15">
      <c r="A14" s="1" t="s">
        <v>565</v>
      </c>
      <c r="B14" s="2" t="s">
        <v>289</v>
      </c>
      <c r="C14" s="6">
        <v>6</v>
      </c>
      <c r="D14" s="2" t="s">
        <v>428</v>
      </c>
      <c r="E14" s="6">
        <v>150</v>
      </c>
      <c r="F14" s="18">
        <v>1775.46</v>
      </c>
      <c r="G14" s="18"/>
      <c r="H14" s="18">
        <v>14975</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57628.13</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1534197.8800000001</v>
      </c>
      <c r="G19" s="41">
        <f>SUM(G9:G18)</f>
        <v>122964.59</v>
      </c>
      <c r="H19" s="41">
        <f>SUM(H9:H18)</f>
        <v>234034.25</v>
      </c>
      <c r="I19" s="41">
        <f>SUM(I9:I18)</f>
        <v>248057.44</v>
      </c>
      <c r="J19" s="41">
        <f>SUM(J9:J18)</f>
        <v>4769668.3900000006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358392.22</v>
      </c>
      <c r="G22" s="18"/>
      <c r="H22" s="18">
        <v>176244.06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97640.57</v>
      </c>
      <c r="G24" s="18"/>
      <c r="H24" s="18"/>
      <c r="I24" s="18">
        <v>9720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245574.78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22760.95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701607.57</v>
      </c>
      <c r="G32" s="41">
        <f>SUM(G22:G31)</f>
        <v>22760.95</v>
      </c>
      <c r="H32" s="41">
        <f>SUM(H22:H31)</f>
        <v>176244.06</v>
      </c>
      <c r="I32" s="41">
        <f>SUM(I22:I31)</f>
        <v>9720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57628.13</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165869.26</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64939.33</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4538859.8000000007</v>
      </c>
      <c r="K43" s="24" t="s">
        <v>288</v>
      </c>
      <c r="L43" s="24" t="s">
        <v>288</v>
      </c>
      <c r="M43" s="8"/>
      <c r="N43" s="266"/>
    </row>
    <row r="44" spans="1:14" s="3" customFormat="1" ht="12.2" customHeight="1" x14ac:dyDescent="0.15">
      <c r="A44" s="1" t="s">
        <v>837</v>
      </c>
      <c r="B44" s="6">
        <v>1</v>
      </c>
      <c r="C44" s="6">
        <v>30</v>
      </c>
      <c r="D44" s="2" t="s">
        <v>653</v>
      </c>
      <c r="E44" s="6">
        <v>755</v>
      </c>
      <c r="F44" s="18">
        <v>200000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100203.64</v>
      </c>
      <c r="H48" s="18">
        <v>57790.189999999995</v>
      </c>
      <c r="I48" s="18">
        <v>238337.44</v>
      </c>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574962.18000000005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832590.31</v>
      </c>
      <c r="G51" s="41">
        <f>SUM(G35:G50)</f>
        <v>100203.64</v>
      </c>
      <c r="H51" s="41">
        <f>SUM(H35:H50)</f>
        <v>57790.189999999995</v>
      </c>
      <c r="I51" s="41">
        <f>SUM(I35:I50)</f>
        <v>238337.44</v>
      </c>
      <c r="J51" s="41">
        <f>SUM(J35:J50)</f>
        <v>4769668.3900000006</v>
      </c>
      <c r="K51" s="45" t="s">
        <v>288</v>
      </c>
      <c r="L51" s="45" t="s">
        <v>288</v>
      </c>
      <c r="N51" s="264"/>
    </row>
    <row r="52" spans="1:14" s="3" customFormat="1" ht="12.2" customHeight="1" thickTop="1" x14ac:dyDescent="0.15">
      <c r="A52" s="38" t="s">
        <v>455</v>
      </c>
      <c r="B52" s="39" t="s">
        <v>289</v>
      </c>
      <c r="C52" s="6">
        <v>37</v>
      </c>
      <c r="D52" s="39" t="s">
        <v>653</v>
      </c>
      <c r="E52" s="39"/>
      <c r="F52" s="41">
        <f>F51+F32</f>
        <v>1534197.88</v>
      </c>
      <c r="G52" s="41">
        <f>G51+G32</f>
        <v>122964.59</v>
      </c>
      <c r="H52" s="41">
        <f>H51+H32</f>
        <v>234034.25</v>
      </c>
      <c r="I52" s="41">
        <f>I51+I32</f>
        <v>248057.44</v>
      </c>
      <c r="J52" s="41">
        <f>J51+J32</f>
        <v>4769668.3900000006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26811924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26811924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33645.57</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360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v>86650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988102.5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304129.01</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21374.75</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1347611.83</v>
      </c>
      <c r="G79" s="45" t="s">
        <v>288</v>
      </c>
      <c r="H79" s="41">
        <f>SUM(H63:H78)</f>
        <v>86650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18362.189999999999</v>
      </c>
      <c r="G96" s="18"/>
      <c r="H96" s="18"/>
      <c r="I96" s="18">
        <v>7807.98</v>
      </c>
      <c r="J96" s="18">
        <v>230808.59000000003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441720.11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4761.38</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15124.57</v>
      </c>
      <c r="I102" s="18"/>
      <c r="J102" s="18">
        <v>14244</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30237.88</v>
      </c>
      <c r="G110" s="18"/>
      <c r="H110" s="18">
        <v>600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53361.45</v>
      </c>
      <c r="G111" s="41">
        <f>SUM(G96:G110)</f>
        <v>441720.11</v>
      </c>
      <c r="H111" s="41">
        <f>SUM(H96:H110)</f>
        <v>15724.57</v>
      </c>
      <c r="I111" s="41">
        <f>SUM(I96:I110)</f>
        <v>7807.98</v>
      </c>
      <c r="J111" s="41">
        <f>SUM(J96:J110)</f>
        <v>245052.59000000003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28212897.279999997</v>
      </c>
      <c r="G112" s="41">
        <f>G60+G111</f>
        <v>441720.11</v>
      </c>
      <c r="H112" s="41">
        <f>H60+H79+H94+H111</f>
        <v>102374.57</v>
      </c>
      <c r="I112" s="41">
        <f>I60+I111</f>
        <v>7807.98</v>
      </c>
      <c r="J112" s="41">
        <f>J60+J111</f>
        <v>245052.59000000003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7284477.5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3026981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10311458.5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240864.93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150700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126002.52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f>31180.87+1470.21</f>
        <v>32651.079999999998</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9295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40000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9048.17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559513.53</v>
      </c>
      <c r="G136" s="41">
        <f>SUM(G123:G135)</f>
        <v>9048.17</v>
      </c>
      <c r="H136" s="41">
        <f>SUM(H123:H135)</f>
        <v>40000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10870972.029999999</v>
      </c>
      <c r="G140" s="41">
        <f>G121+SUM(G136:G137)</f>
        <v>9048.17</v>
      </c>
      <c r="H140" s="41">
        <f>H121+SUM(H136:H139)</f>
        <v>40000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272769.45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96403.54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126380.70999999999</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217106.85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599402.16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331605.09000000003</v>
      </c>
      <c r="G160" s="24" t="s">
        <v>288</v>
      </c>
      <c r="H160" s="18">
        <v>3872</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390</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331605.09000000003</v>
      </c>
      <c r="G162" s="41">
        <f>SUM(G150:G161)</f>
        <v>217106.85</v>
      </c>
      <c r="H162" s="41">
        <f>SUM(H150:H161)</f>
        <v>1099217.8599999999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331605.09000000003</v>
      </c>
      <c r="G169" s="41">
        <f>G147+G162+SUM(G163:G168)</f>
        <v>217106.85</v>
      </c>
      <c r="H169" s="41">
        <f>H147+H162+SUM(H163:H168)</f>
        <v>1099217.8599999999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4996.01</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4996.01</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35000</v>
      </c>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35000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35000</v>
      </c>
      <c r="G192" s="41">
        <f>G183+SUM(G188:G191)</f>
        <v>4996.01</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39450474.399999999</v>
      </c>
      <c r="G193" s="47">
        <f>G112+G140+G169+G192</f>
        <v>672871.14</v>
      </c>
      <c r="H193" s="47">
        <f>H112+H140+H169+H192</f>
        <v>1241592.43</v>
      </c>
      <c r="I193" s="47">
        <f>I112+I140+I169+I192</f>
        <v>7807.98</v>
      </c>
      <c r="J193" s="47">
        <f>J112+J140+J192</f>
        <v>245052.59000000003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3724603.66</v>
      </c>
      <c r="G197" s="18">
        <v>2072327.85</v>
      </c>
      <c r="H197" s="18">
        <v>11377.6</v>
      </c>
      <c r="I197" s="18">
        <v>109491.12</v>
      </c>
      <c r="J197" s="18">
        <v>66003.22</v>
      </c>
      <c r="K197" s="18">
        <v>275</v>
      </c>
      <c r="L197" s="19">
        <f>SUM(F197:K197)</f>
        <v>5984078.4499999993</v>
      </c>
      <c r="M197" s="8"/>
      <c r="N197" s="266"/>
    </row>
    <row r="198" spans="1:14" s="3" customFormat="1" ht="12.2" customHeight="1" x14ac:dyDescent="0.15">
      <c r="A198" s="1" t="s">
        <v>439</v>
      </c>
      <c r="B198" s="2" t="s">
        <v>341</v>
      </c>
      <c r="C198" s="2" t="s">
        <v>291</v>
      </c>
      <c r="D198" s="2" t="s">
        <v>431</v>
      </c>
      <c r="E198" s="6">
        <v>1200</v>
      </c>
      <c r="F198" s="18">
        <v>1826459.69</v>
      </c>
      <c r="G198" s="18">
        <v>857738.7</v>
      </c>
      <c r="H198" s="18">
        <v>177214.68</v>
      </c>
      <c r="I198" s="18">
        <v>14648.13</v>
      </c>
      <c r="J198" s="18">
        <v>3999.03</v>
      </c>
      <c r="K198" s="18"/>
      <c r="L198" s="19">
        <f>SUM(F198:K198)</f>
        <v>2880060.2299999995</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834.6</v>
      </c>
      <c r="G200" s="18">
        <v>4758.01</v>
      </c>
      <c r="H200" s="18">
        <v>22936.39</v>
      </c>
      <c r="I200" s="18">
        <v>237.03</v>
      </c>
      <c r="J200" s="18"/>
      <c r="K200" s="18">
        <v>650</v>
      </c>
      <c r="L200" s="19">
        <f>SUM(F200:K200)</f>
        <v>29416.03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986232.65999999992</v>
      </c>
      <c r="G202" s="18">
        <v>501753.35</v>
      </c>
      <c r="H202" s="18">
        <v>32267.23</v>
      </c>
      <c r="I202" s="18">
        <v>5142.93</v>
      </c>
      <c r="J202" s="18">
        <v>1515.02</v>
      </c>
      <c r="K202" s="18"/>
      <c r="L202" s="19">
        <f t="shared" ref="L202:L208" si="0">SUM(F202:K202)</f>
        <v>1526911.1899999997</v>
      </c>
      <c r="M202" s="8"/>
      <c r="N202" s="266"/>
    </row>
    <row r="203" spans="1:14" s="3" customFormat="1" ht="12.2" customHeight="1" x14ac:dyDescent="0.15">
      <c r="A203" s="1" t="s">
        <v>443</v>
      </c>
      <c r="B203" s="2" t="s">
        <v>341</v>
      </c>
      <c r="C203" s="2" t="s">
        <v>295</v>
      </c>
      <c r="D203" s="2" t="s">
        <v>431</v>
      </c>
      <c r="E203" s="6">
        <v>2200</v>
      </c>
      <c r="F203" s="18">
        <v>141482.22</v>
      </c>
      <c r="G203" s="18">
        <v>63584.26</v>
      </c>
      <c r="H203" s="18">
        <v>27295.62</v>
      </c>
      <c r="I203" s="18">
        <v>57909.48</v>
      </c>
      <c r="J203" s="18">
        <v>394.72</v>
      </c>
      <c r="K203" s="18"/>
      <c r="L203" s="19">
        <f t="shared" si="0"/>
        <v>290666.3</v>
      </c>
      <c r="M203" s="8"/>
      <c r="N203" s="266"/>
    </row>
    <row r="204" spans="1:14" s="3" customFormat="1" ht="12.2" customHeight="1" x14ac:dyDescent="0.15">
      <c r="A204" s="1" t="s">
        <v>444</v>
      </c>
      <c r="B204" s="2" t="s">
        <v>341</v>
      </c>
      <c r="C204" s="2" t="s">
        <v>296</v>
      </c>
      <c r="D204" s="2" t="s">
        <v>431</v>
      </c>
      <c r="E204" s="6">
        <v>2300</v>
      </c>
      <c r="F204" s="18">
        <v>468424.78</v>
      </c>
      <c r="G204" s="18">
        <v>302782.2</v>
      </c>
      <c r="H204" s="18">
        <v>91194.65</v>
      </c>
      <c r="I204" s="18">
        <v>6341.5</v>
      </c>
      <c r="J204" s="18">
        <v>321.36</v>
      </c>
      <c r="K204" s="18">
        <v>7715.1</v>
      </c>
      <c r="L204" s="19">
        <f t="shared" si="0"/>
        <v>876779.59</v>
      </c>
      <c r="M204" s="8"/>
      <c r="N204" s="266"/>
    </row>
    <row r="205" spans="1:14" s="3" customFormat="1" ht="12.2" customHeight="1" x14ac:dyDescent="0.15">
      <c r="A205" s="1" t="s">
        <v>445</v>
      </c>
      <c r="B205" s="2" t="s">
        <v>341</v>
      </c>
      <c r="C205" s="2" t="s">
        <v>297</v>
      </c>
      <c r="D205" s="2" t="s">
        <v>431</v>
      </c>
      <c r="E205" s="6">
        <v>2400</v>
      </c>
      <c r="F205" s="18">
        <v>469437.76</v>
      </c>
      <c r="G205" s="18">
        <v>253471.95</v>
      </c>
      <c r="H205" s="18">
        <v>4599.58</v>
      </c>
      <c r="I205" s="18">
        <v>2688.86</v>
      </c>
      <c r="J205" s="18"/>
      <c r="K205" s="18">
        <v>2681</v>
      </c>
      <c r="L205" s="19">
        <f t="shared" si="0"/>
        <v>732879.14999999991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404443.81999999995</v>
      </c>
      <c r="G207" s="18">
        <v>219733.36</v>
      </c>
      <c r="H207" s="18">
        <v>282577.23</v>
      </c>
      <c r="I207" s="18">
        <v>292135.74</v>
      </c>
      <c r="J207" s="18">
        <v>11310.12</v>
      </c>
      <c r="K207" s="18"/>
      <c r="L207" s="19">
        <f t="shared" si="0"/>
        <v>1210200.27</v>
      </c>
      <c r="M207" s="8"/>
      <c r="N207" s="266"/>
    </row>
    <row r="208" spans="1:14" s="3" customFormat="1" ht="12.2" customHeight="1" x14ac:dyDescent="0.15">
      <c r="A208" s="1" t="s">
        <v>448</v>
      </c>
      <c r="B208" s="2" t="s">
        <v>341</v>
      </c>
      <c r="C208" s="2" t="s">
        <v>300</v>
      </c>
      <c r="D208" s="2" t="s">
        <v>431</v>
      </c>
      <c r="E208" s="6">
        <v>2700</v>
      </c>
      <c r="F208" s="18"/>
      <c r="G208" s="18"/>
      <c r="H208" s="18">
        <v>562364.09000000008</v>
      </c>
      <c r="I208" s="18"/>
      <c r="J208" s="18"/>
      <c r="K208" s="18"/>
      <c r="L208" s="19">
        <f t="shared" si="0"/>
        <v>562364.09000000008</v>
      </c>
      <c r="M208" s="8"/>
      <c r="N208" s="266"/>
    </row>
    <row r="209" spans="1:14" s="3" customFormat="1" ht="12.2" customHeight="1" x14ac:dyDescent="0.15">
      <c r="A209" s="1" t="s">
        <v>449</v>
      </c>
      <c r="B209" s="2" t="s">
        <v>341</v>
      </c>
      <c r="C209" s="2" t="s">
        <v>343</v>
      </c>
      <c r="D209" s="2" t="s">
        <v>431</v>
      </c>
      <c r="E209" s="6">
        <v>2800</v>
      </c>
      <c r="F209" s="18">
        <v>293971.28999999998</v>
      </c>
      <c r="G209" s="18">
        <v>49310.239999999998</v>
      </c>
      <c r="H209" s="18">
        <v>86702.18</v>
      </c>
      <c r="I209" s="18">
        <v>1798.59</v>
      </c>
      <c r="J209" s="18">
        <v>59159.77</v>
      </c>
      <c r="K209" s="18"/>
      <c r="L209" s="19">
        <f>SUM(F209:K209)</f>
        <v>490942.07</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8315890.4799999995</v>
      </c>
      <c r="G211" s="41">
        <f t="shared" si="1"/>
        <v>4325459.92</v>
      </c>
      <c r="H211" s="41">
        <f t="shared" si="1"/>
        <v>1298529.25</v>
      </c>
      <c r="I211" s="41">
        <f t="shared" si="1"/>
        <v>490393.38</v>
      </c>
      <c r="J211" s="41">
        <f t="shared" si="1"/>
        <v>142703.24</v>
      </c>
      <c r="K211" s="41">
        <f t="shared" si="1"/>
        <v>11321.1</v>
      </c>
      <c r="L211" s="41">
        <f t="shared" si="1"/>
        <v>14584297.369999999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2390881.4500000002</v>
      </c>
      <c r="G215" s="18">
        <v>1562106.24</v>
      </c>
      <c r="H215" s="18">
        <v>2120.21</v>
      </c>
      <c r="I215" s="18">
        <v>51769.26</v>
      </c>
      <c r="J215" s="18">
        <v>22473.759999999998</v>
      </c>
      <c r="K215" s="18">
        <v>900</v>
      </c>
      <c r="L215" s="19">
        <f>SUM(F215:K215)</f>
        <v>4030250.92</v>
      </c>
      <c r="M215" s="8"/>
      <c r="N215" s="266"/>
    </row>
    <row r="216" spans="1:14" s="3" customFormat="1" ht="12.2" customHeight="1" x14ac:dyDescent="0.15">
      <c r="A216" s="1" t="s">
        <v>439</v>
      </c>
      <c r="B216" s="2" t="s">
        <v>346</v>
      </c>
      <c r="C216" s="2" t="s">
        <v>291</v>
      </c>
      <c r="D216" s="2" t="s">
        <v>431</v>
      </c>
      <c r="E216" s="6">
        <v>1200</v>
      </c>
      <c r="F216" s="18">
        <v>930838.35</v>
      </c>
      <c r="G216" s="18">
        <v>557006.61</v>
      </c>
      <c r="H216" s="18">
        <v>127038.2</v>
      </c>
      <c r="I216" s="18">
        <v>7505.49</v>
      </c>
      <c r="J216" s="18">
        <v>304.71000000000004</v>
      </c>
      <c r="K216" s="18"/>
      <c r="L216" s="19">
        <f>SUM(F216:K216)</f>
        <v>1622693.3599999999</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52529.43</v>
      </c>
      <c r="G218" s="18">
        <v>5460.85</v>
      </c>
      <c r="H218" s="18">
        <v>12220.5</v>
      </c>
      <c r="I218" s="18">
        <v>4452.76</v>
      </c>
      <c r="J218" s="18">
        <v>2975.96</v>
      </c>
      <c r="K218" s="18">
        <v>4367.5</v>
      </c>
      <c r="L218" s="19">
        <f>SUM(F218:K218)</f>
        <v>82007</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364050.8</v>
      </c>
      <c r="G220" s="18">
        <v>218130.59</v>
      </c>
      <c r="H220" s="18">
        <v>55351.55</v>
      </c>
      <c r="I220" s="18">
        <v>7206.47</v>
      </c>
      <c r="J220" s="18">
        <v>973.86</v>
      </c>
      <c r="K220" s="18"/>
      <c r="L220" s="19">
        <f t="shared" ref="L220:L226" si="2">SUM(F220:K220)</f>
        <v>645713.27</v>
      </c>
      <c r="M220" s="8"/>
      <c r="N220" s="266"/>
    </row>
    <row r="221" spans="1:14" s="3" customFormat="1" ht="12.2" customHeight="1" x14ac:dyDescent="0.15">
      <c r="A221" s="1" t="s">
        <v>443</v>
      </c>
      <c r="B221" s="2" t="s">
        <v>346</v>
      </c>
      <c r="C221" s="2" t="s">
        <v>295</v>
      </c>
      <c r="D221" s="2" t="s">
        <v>431</v>
      </c>
      <c r="E221" s="6">
        <v>2200</v>
      </c>
      <c r="F221" s="18">
        <v>126062.46</v>
      </c>
      <c r="G221" s="18">
        <v>47934.12</v>
      </c>
      <c r="H221" s="18">
        <v>18757.939999999999</v>
      </c>
      <c r="I221" s="18">
        <v>38294.75</v>
      </c>
      <c r="J221" s="18"/>
      <c r="K221" s="18"/>
      <c r="L221" s="19">
        <f t="shared" si="2"/>
        <v>231049.27000000002</v>
      </c>
      <c r="M221" s="8"/>
      <c r="N221" s="266"/>
    </row>
    <row r="222" spans="1:14" s="3" customFormat="1" ht="12.2" customHeight="1" x14ac:dyDescent="0.15">
      <c r="A222" s="1" t="s">
        <v>444</v>
      </c>
      <c r="B222" s="2" t="s">
        <v>346</v>
      </c>
      <c r="C222" s="2" t="s">
        <v>296</v>
      </c>
      <c r="D222" s="2" t="s">
        <v>431</v>
      </c>
      <c r="E222" s="6">
        <v>2300</v>
      </c>
      <c r="F222" s="18">
        <v>361225.54000000004</v>
      </c>
      <c r="G222" s="18">
        <v>209029.17</v>
      </c>
      <c r="H222" s="18">
        <v>65212.83</v>
      </c>
      <c r="I222" s="18">
        <v>4460.1499999999996</v>
      </c>
      <c r="J222" s="18">
        <v>230.72</v>
      </c>
      <c r="K222" s="18">
        <v>5476.23</v>
      </c>
      <c r="L222" s="19">
        <f t="shared" si="2"/>
        <v>645634.64</v>
      </c>
      <c r="M222" s="8"/>
      <c r="N222" s="266"/>
    </row>
    <row r="223" spans="1:14" s="3" customFormat="1" ht="12.2" customHeight="1" x14ac:dyDescent="0.15">
      <c r="A223" s="1" t="s">
        <v>445</v>
      </c>
      <c r="B223" s="2" t="s">
        <v>346</v>
      </c>
      <c r="C223" s="2" t="s">
        <v>297</v>
      </c>
      <c r="D223" s="2" t="s">
        <v>431</v>
      </c>
      <c r="E223" s="6">
        <v>2400</v>
      </c>
      <c r="F223" s="18">
        <v>335944.4</v>
      </c>
      <c r="G223" s="18">
        <v>239670.6</v>
      </c>
      <c r="H223" s="18">
        <v>1071.32</v>
      </c>
      <c r="I223" s="18">
        <v>989.5</v>
      </c>
      <c r="J223" s="18">
        <v>274.63</v>
      </c>
      <c r="K223" s="18">
        <v>2656.93</v>
      </c>
      <c r="L223" s="19">
        <f t="shared" si="2"/>
        <v>580607.38</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v>238243.37</v>
      </c>
      <c r="G225" s="18">
        <v>141678.70000000001</v>
      </c>
      <c r="H225" s="18">
        <v>184339.63</v>
      </c>
      <c r="I225" s="18">
        <v>150565.53</v>
      </c>
      <c r="J225" s="18">
        <v>9654.09</v>
      </c>
      <c r="K225" s="18"/>
      <c r="L225" s="19">
        <f t="shared" si="2"/>
        <v>724481.32</v>
      </c>
      <c r="M225" s="8"/>
      <c r="N225" s="266"/>
    </row>
    <row r="226" spans="1:14" s="3" customFormat="1" ht="12.2" customHeight="1" x14ac:dyDescent="0.15">
      <c r="A226" s="1" t="s">
        <v>448</v>
      </c>
      <c r="B226" s="2" t="s">
        <v>346</v>
      </c>
      <c r="C226" s="2" t="s">
        <v>300</v>
      </c>
      <c r="D226" s="2" t="s">
        <v>431</v>
      </c>
      <c r="E226" s="6">
        <v>2700</v>
      </c>
      <c r="F226" s="18"/>
      <c r="G226" s="18"/>
      <c r="H226" s="18">
        <v>366458.67</v>
      </c>
      <c r="I226" s="18"/>
      <c r="J226" s="18"/>
      <c r="K226" s="18"/>
      <c r="L226" s="19">
        <f t="shared" si="2"/>
        <v>366458.67</v>
      </c>
      <c r="M226" s="8"/>
      <c r="N226" s="266"/>
    </row>
    <row r="227" spans="1:14" s="3" customFormat="1" ht="12.2" customHeight="1" x14ac:dyDescent="0.15">
      <c r="A227" s="1" t="s">
        <v>449</v>
      </c>
      <c r="B227" s="2" t="s">
        <v>346</v>
      </c>
      <c r="C227" s="2" t="s">
        <v>343</v>
      </c>
      <c r="D227" s="2" t="s">
        <v>431</v>
      </c>
      <c r="E227" s="6">
        <v>2800</v>
      </c>
      <c r="F227" s="18">
        <v>193806.97</v>
      </c>
      <c r="G227" s="18">
        <v>52788.21</v>
      </c>
      <c r="H227" s="18">
        <v>62247.72</v>
      </c>
      <c r="I227" s="18">
        <v>1291.29</v>
      </c>
      <c r="J227" s="18">
        <v>42473.68</v>
      </c>
      <c r="K227" s="18"/>
      <c r="L227" s="19">
        <f>SUM(F227:K227)</f>
        <v>352607.87</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4993582.7700000005</v>
      </c>
      <c r="G229" s="41">
        <f>SUM(G215:G228)</f>
        <v>3033805.0900000003</v>
      </c>
      <c r="H229" s="41">
        <f>SUM(H215:H228)</f>
        <v>894818.57000000007</v>
      </c>
      <c r="I229" s="41">
        <f>SUM(I215:I228)</f>
        <v>266535.19999999995</v>
      </c>
      <c r="J229" s="41">
        <f>SUM(J215:J228)</f>
        <v>79361.41</v>
      </c>
      <c r="K229" s="41">
        <f t="shared" si="3"/>
        <v>13400.66</v>
      </c>
      <c r="L229" s="41">
        <f t="shared" si="3"/>
        <v>9281503.6999999974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3450860.44</v>
      </c>
      <c r="G233" s="18">
        <v>2163894.1</v>
      </c>
      <c r="H233" s="18">
        <v>8913.98</v>
      </c>
      <c r="I233" s="18">
        <v>105444.78</v>
      </c>
      <c r="J233" s="18">
        <v>75071.56</v>
      </c>
      <c r="K233" s="18">
        <v>2899</v>
      </c>
      <c r="L233" s="19">
        <f>SUM(F233:K233)</f>
        <v>5807083.8600000003</v>
      </c>
      <c r="M233" s="8"/>
      <c r="N233" s="266"/>
    </row>
    <row r="234" spans="1:14" s="3" customFormat="1" ht="12.2" customHeight="1" x14ac:dyDescent="0.15">
      <c r="A234" s="1" t="s">
        <v>439</v>
      </c>
      <c r="B234" s="2" t="s">
        <v>350</v>
      </c>
      <c r="C234" s="2" t="s">
        <v>291</v>
      </c>
      <c r="D234" s="2" t="s">
        <v>431</v>
      </c>
      <c r="E234" s="6">
        <v>1200</v>
      </c>
      <c r="F234" s="18">
        <v>1061685.03</v>
      </c>
      <c r="G234" s="18">
        <v>543924.89</v>
      </c>
      <c r="H234" s="18">
        <v>562441.64999999991</v>
      </c>
      <c r="I234" s="18">
        <v>5036.96</v>
      </c>
      <c r="J234" s="18">
        <v>72.209999999999994</v>
      </c>
      <c r="K234" s="18"/>
      <c r="L234" s="19">
        <f>SUM(F234:K234)</f>
        <v>2173160.7399999998</v>
      </c>
      <c r="M234" s="8"/>
      <c r="N234" s="266"/>
    </row>
    <row r="235" spans="1:14" s="3" customFormat="1" ht="12.2" customHeight="1" x14ac:dyDescent="0.15">
      <c r="A235" s="1" t="s">
        <v>440</v>
      </c>
      <c r="B235" s="2" t="s">
        <v>350</v>
      </c>
      <c r="C235" s="2" t="s">
        <v>292</v>
      </c>
      <c r="D235" s="2" t="s">
        <v>431</v>
      </c>
      <c r="E235" s="6">
        <v>1300</v>
      </c>
      <c r="F235" s="18">
        <v>715343.99</v>
      </c>
      <c r="G235" s="18">
        <v>411878.81</v>
      </c>
      <c r="H235" s="18">
        <v>23980.89</v>
      </c>
      <c r="I235" s="18">
        <v>50463.95</v>
      </c>
      <c r="J235" s="18">
        <v>23881.43</v>
      </c>
      <c r="K235" s="18">
        <v>1419.95</v>
      </c>
      <c r="L235" s="19">
        <f>SUM(F235:K235)</f>
        <v>1226969.0199999998</v>
      </c>
      <c r="M235" s="8"/>
      <c r="N235" s="266"/>
    </row>
    <row r="236" spans="1:14" s="3" customFormat="1" ht="12.2" customHeight="1" x14ac:dyDescent="0.15">
      <c r="A236" s="1" t="s">
        <v>441</v>
      </c>
      <c r="B236" s="2" t="s">
        <v>350</v>
      </c>
      <c r="C236" s="2" t="s">
        <v>293</v>
      </c>
      <c r="D236" s="2" t="s">
        <v>431</v>
      </c>
      <c r="E236" s="6">
        <v>1400</v>
      </c>
      <c r="F236" s="18">
        <v>158616.87000000002</v>
      </c>
      <c r="G236" s="18">
        <v>14428.88</v>
      </c>
      <c r="H236" s="18">
        <v>50328.36</v>
      </c>
      <c r="I236" s="18">
        <v>18000</v>
      </c>
      <c r="J236" s="18">
        <v>3500</v>
      </c>
      <c r="K236" s="18">
        <v>10400</v>
      </c>
      <c r="L236" s="19">
        <f>SUM(F236:K236)</f>
        <v>255274.11000000004</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704397.38</v>
      </c>
      <c r="G238" s="18">
        <v>362908.08</v>
      </c>
      <c r="H238" s="18">
        <v>44279.03</v>
      </c>
      <c r="I238" s="18">
        <v>16055.619999999999</v>
      </c>
      <c r="J238" s="18">
        <v>243.61</v>
      </c>
      <c r="K238" s="18">
        <v>802</v>
      </c>
      <c r="L238" s="19">
        <f t="shared" ref="L238:L244" si="4">SUM(F238:K238)</f>
        <v>1128685.7200000002</v>
      </c>
      <c r="M238" s="8"/>
      <c r="N238" s="266"/>
    </row>
    <row r="239" spans="1:14" s="3" customFormat="1" ht="12.2" customHeight="1" x14ac:dyDescent="0.15">
      <c r="A239" s="1" t="s">
        <v>443</v>
      </c>
      <c r="B239" s="2" t="s">
        <v>350</v>
      </c>
      <c r="C239" s="2" t="s">
        <v>295</v>
      </c>
      <c r="D239" s="2" t="s">
        <v>431</v>
      </c>
      <c r="E239" s="6">
        <v>2200</v>
      </c>
      <c r="F239" s="18">
        <v>134911.28</v>
      </c>
      <c r="G239" s="18">
        <v>56403.79</v>
      </c>
      <c r="H239" s="18">
        <v>28966.34</v>
      </c>
      <c r="I239" s="18">
        <v>66746.16</v>
      </c>
      <c r="J239" s="18">
        <v>5147.32</v>
      </c>
      <c r="K239" s="18"/>
      <c r="L239" s="19">
        <f t="shared" si="4"/>
        <v>292174.89</v>
      </c>
      <c r="M239" s="8"/>
      <c r="N239" s="266"/>
    </row>
    <row r="240" spans="1:14" s="3" customFormat="1" ht="12.2" customHeight="1" x14ac:dyDescent="0.15">
      <c r="A240" s="1" t="s">
        <v>444</v>
      </c>
      <c r="B240" s="2" t="s">
        <v>350</v>
      </c>
      <c r="C240" s="2" t="s">
        <v>296</v>
      </c>
      <c r="D240" s="2" t="s">
        <v>431</v>
      </c>
      <c r="E240" s="6">
        <v>2300</v>
      </c>
      <c r="F240" s="18">
        <v>460524.52</v>
      </c>
      <c r="G240" s="18">
        <v>324431.08</v>
      </c>
      <c r="H240" s="18">
        <v>76214.47</v>
      </c>
      <c r="I240" s="18">
        <v>5027.34</v>
      </c>
      <c r="J240" s="18">
        <v>271.92</v>
      </c>
      <c r="K240" s="18">
        <v>6298.82</v>
      </c>
      <c r="L240" s="19">
        <f t="shared" si="4"/>
        <v>872768.15</v>
      </c>
      <c r="M240" s="8"/>
      <c r="N240" s="266"/>
    </row>
    <row r="241" spans="1:14" s="3" customFormat="1" ht="12.2" customHeight="1" x14ac:dyDescent="0.15">
      <c r="A241" s="1" t="s">
        <v>445</v>
      </c>
      <c r="B241" s="2" t="s">
        <v>350</v>
      </c>
      <c r="C241" s="2" t="s">
        <v>297</v>
      </c>
      <c r="D241" s="2" t="s">
        <v>431</v>
      </c>
      <c r="E241" s="6">
        <v>2400</v>
      </c>
      <c r="F241" s="18">
        <v>457819</v>
      </c>
      <c r="G241" s="18">
        <v>265841.09999999998</v>
      </c>
      <c r="H241" s="18">
        <v>7516.92</v>
      </c>
      <c r="I241" s="18">
        <v>6685.39</v>
      </c>
      <c r="J241" s="18"/>
      <c r="K241" s="18">
        <v>24152.400000000001</v>
      </c>
      <c r="L241" s="19">
        <f t="shared" si="4"/>
        <v>762014.81</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317638.78999999998</v>
      </c>
      <c r="G243" s="18">
        <v>192822.25</v>
      </c>
      <c r="H243" s="18">
        <v>266804.44</v>
      </c>
      <c r="I243" s="18">
        <v>266096.88</v>
      </c>
      <c r="J243" s="18">
        <v>9887.84</v>
      </c>
      <c r="K243" s="18"/>
      <c r="L243" s="19">
        <f t="shared" si="4"/>
        <v>1053250.2</v>
      </c>
      <c r="M243" s="8"/>
      <c r="N243" s="266"/>
    </row>
    <row r="244" spans="1:14" s="3" customFormat="1" ht="12.2" customHeight="1" x14ac:dyDescent="0.15">
      <c r="A244" s="1" t="s">
        <v>448</v>
      </c>
      <c r="B244" s="2" t="s">
        <v>350</v>
      </c>
      <c r="C244" s="2" t="s">
        <v>300</v>
      </c>
      <c r="D244" s="2" t="s">
        <v>431</v>
      </c>
      <c r="E244" s="6">
        <v>2700</v>
      </c>
      <c r="F244" s="18"/>
      <c r="G244" s="18"/>
      <c r="H244" s="18">
        <v>316398.55</v>
      </c>
      <c r="I244" s="18"/>
      <c r="J244" s="18"/>
      <c r="K244" s="18"/>
      <c r="L244" s="19">
        <f t="shared" si="4"/>
        <v>316398.55</v>
      </c>
      <c r="M244" s="8"/>
      <c r="N244" s="266"/>
    </row>
    <row r="245" spans="1:14" s="3" customFormat="1" ht="12.2" customHeight="1" x14ac:dyDescent="0.15">
      <c r="A245" s="1" t="s">
        <v>449</v>
      </c>
      <c r="B245" s="2" t="s">
        <v>350</v>
      </c>
      <c r="C245" s="2" t="s">
        <v>343</v>
      </c>
      <c r="D245" s="2" t="s">
        <v>431</v>
      </c>
      <c r="E245" s="6">
        <v>2800</v>
      </c>
      <c r="F245" s="18">
        <v>195417.1</v>
      </c>
      <c r="G245" s="18">
        <v>35853.57</v>
      </c>
      <c r="H245" s="18">
        <v>73363.38</v>
      </c>
      <c r="I245" s="18">
        <v>1521.88</v>
      </c>
      <c r="J245" s="18">
        <v>50058.27</v>
      </c>
      <c r="K245" s="18"/>
      <c r="L245" s="19">
        <f>SUM(F245:K245)</f>
        <v>356214.20000000007</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7657214.3999999994</v>
      </c>
      <c r="G247" s="41">
        <f t="shared" si="5"/>
        <v>4372386.5500000007</v>
      </c>
      <c r="H247" s="41">
        <f t="shared" si="5"/>
        <v>1459208.0099999998</v>
      </c>
      <c r="I247" s="41">
        <f t="shared" si="5"/>
        <v>541078.96000000008</v>
      </c>
      <c r="J247" s="41">
        <f t="shared" si="5"/>
        <v>168134.16</v>
      </c>
      <c r="K247" s="41">
        <f t="shared" si="5"/>
        <v>45972.17</v>
      </c>
      <c r="L247" s="41">
        <f t="shared" si="5"/>
        <v>14243994.25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20966687.649999999</v>
      </c>
      <c r="G257" s="41">
        <f t="shared" si="8"/>
        <v>11731651.560000001</v>
      </c>
      <c r="H257" s="41">
        <f t="shared" si="8"/>
        <v>3652555.83</v>
      </c>
      <c r="I257" s="41">
        <f t="shared" si="8"/>
        <v>1298007.54</v>
      </c>
      <c r="J257" s="41">
        <f t="shared" si="8"/>
        <v>390198.81</v>
      </c>
      <c r="K257" s="41">
        <f t="shared" si="8"/>
        <v>70693.929999999993</v>
      </c>
      <c r="L257" s="41">
        <f t="shared" si="8"/>
        <v>38109795.319999993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1188226.83</v>
      </c>
      <c r="L260" s="19">
        <f>SUM(F260:K260)</f>
        <v>1188226.83</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314886.17</v>
      </c>
      <c r="L261" s="19">
        <f>SUM(F261:K261)</f>
        <v>314886.17</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4996.01</v>
      </c>
      <c r="L263" s="19">
        <f>SUM(F263:K263)</f>
        <v>4996.01</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1508109.01</v>
      </c>
      <c r="L270" s="41">
        <f t="shared" si="9"/>
        <v>1508109.01</v>
      </c>
      <c r="N270" s="264"/>
    </row>
    <row r="271" spans="1:14" s="3" customFormat="1" ht="12.2" customHeight="1" thickTop="1" x14ac:dyDescent="0.2">
      <c r="A271" s="43" t="s">
        <v>464</v>
      </c>
      <c r="B271" s="40">
        <v>10</v>
      </c>
      <c r="C271" s="40">
        <v>18</v>
      </c>
      <c r="D271" s="39" t="s">
        <v>431</v>
      </c>
      <c r="E271" s="40"/>
      <c r="F271" s="42">
        <f t="shared" ref="F271:L271" si="11">F257+F270</f>
        <v>20966687.649999999</v>
      </c>
      <c r="G271" s="42">
        <f t="shared" si="11"/>
        <v>11731651.560000001</v>
      </c>
      <c r="H271" s="42">
        <f t="shared" si="11"/>
        <v>3652555.83</v>
      </c>
      <c r="I271" s="42">
        <f t="shared" si="11"/>
        <v>1298007.54</v>
      </c>
      <c r="J271" s="42">
        <f t="shared" si="11"/>
        <v>390198.81</v>
      </c>
      <c r="K271" s="42">
        <f t="shared" si="11"/>
        <v>1578802.94</v>
      </c>
      <c r="L271" s="42">
        <f t="shared" si="11"/>
        <v>39617904.329999991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131313.26</v>
      </c>
      <c r="G276" s="18">
        <v>11705.08</v>
      </c>
      <c r="H276" s="18"/>
      <c r="I276" s="18">
        <v>7062.48</v>
      </c>
      <c r="J276" s="18"/>
      <c r="K276" s="18"/>
      <c r="L276" s="19">
        <f>SUM(F276:K276)</f>
        <v>150080.82</v>
      </c>
      <c r="M276" s="8"/>
      <c r="N276" s="266"/>
    </row>
    <row r="277" spans="1:14" s="3" customFormat="1" ht="12.2" customHeight="1" x14ac:dyDescent="0.15">
      <c r="A277" s="1" t="s">
        <v>439</v>
      </c>
      <c r="B277" s="2" t="s">
        <v>357</v>
      </c>
      <c r="C277" s="2" t="s">
        <v>291</v>
      </c>
      <c r="D277" s="2" t="s">
        <v>431</v>
      </c>
      <c r="E277" s="6">
        <v>1200</v>
      </c>
      <c r="F277" s="18">
        <v>72776.42</v>
      </c>
      <c r="G277" s="18">
        <v>22081.88</v>
      </c>
      <c r="H277" s="18">
        <v>3197.45</v>
      </c>
      <c r="I277" s="18">
        <v>1233.0899999999999</v>
      </c>
      <c r="J277" s="18">
        <v>152.33000000000001</v>
      </c>
      <c r="K277" s="18"/>
      <c r="L277" s="19">
        <f>SUM(F277:K277)</f>
        <v>99441.17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14716</v>
      </c>
      <c r="G279" s="18"/>
      <c r="H279" s="18"/>
      <c r="I279" s="18">
        <v>1590.06</v>
      </c>
      <c r="J279" s="18"/>
      <c r="K279" s="18"/>
      <c r="L279" s="19">
        <f>SUM(F279:K279)</f>
        <v>16306.06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87214.45</v>
      </c>
      <c r="G281" s="18">
        <v>51188.71</v>
      </c>
      <c r="H281" s="18">
        <v>5357.24</v>
      </c>
      <c r="I281" s="18">
        <v>4838.5599999999995</v>
      </c>
      <c r="J281" s="18">
        <v>1054.4000000000001</v>
      </c>
      <c r="K281" s="18"/>
      <c r="L281" s="19">
        <f t="shared" ref="L281:L287" si="12">SUM(F281:K281)</f>
        <v>149653.35999999999</v>
      </c>
      <c r="M281" s="8"/>
      <c r="N281" s="266"/>
    </row>
    <row r="282" spans="1:14" s="3" customFormat="1" ht="12.2" customHeight="1" x14ac:dyDescent="0.15">
      <c r="A282" s="1" t="s">
        <v>443</v>
      </c>
      <c r="B282" s="2" t="s">
        <v>357</v>
      </c>
      <c r="C282" s="2" t="s">
        <v>295</v>
      </c>
      <c r="D282" s="2" t="s">
        <v>431</v>
      </c>
      <c r="E282" s="6">
        <v>2200</v>
      </c>
      <c r="F282" s="18">
        <v>8123.7</v>
      </c>
      <c r="G282" s="18">
        <v>2004.4</v>
      </c>
      <c r="H282" s="18">
        <v>69226.83</v>
      </c>
      <c r="I282" s="18">
        <v>3717.29</v>
      </c>
      <c r="J282" s="18">
        <v>5580.79</v>
      </c>
      <c r="K282" s="18"/>
      <c r="L282" s="19">
        <f t="shared" si="12"/>
        <v>88653.01</v>
      </c>
      <c r="M282" s="8"/>
      <c r="N282" s="266"/>
    </row>
    <row r="283" spans="1:14" s="3" customFormat="1" ht="12.2" customHeight="1" x14ac:dyDescent="0.15">
      <c r="A283" s="1" t="s">
        <v>444</v>
      </c>
      <c r="B283" s="2" t="s">
        <v>357</v>
      </c>
      <c r="C283" s="2" t="s">
        <v>296</v>
      </c>
      <c r="D283" s="2" t="s">
        <v>431</v>
      </c>
      <c r="E283" s="6">
        <v>2300</v>
      </c>
      <c r="F283" s="18">
        <v>77289.56</v>
      </c>
      <c r="G283" s="18">
        <v>22032.29</v>
      </c>
      <c r="H283" s="18">
        <v>639.09</v>
      </c>
      <c r="I283" s="18"/>
      <c r="J283" s="18"/>
      <c r="K283" s="18"/>
      <c r="L283" s="19">
        <f t="shared" si="12"/>
        <v>99960.94</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v>5262.35</v>
      </c>
      <c r="J287" s="18"/>
      <c r="K287" s="18">
        <v>2395</v>
      </c>
      <c r="L287" s="19">
        <f t="shared" si="12"/>
        <v>7657.35</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391433.39</v>
      </c>
      <c r="G290" s="42">
        <f t="shared" si="13"/>
        <v>109012.35999999999</v>
      </c>
      <c r="H290" s="42">
        <f t="shared" si="13"/>
        <v>78420.61</v>
      </c>
      <c r="I290" s="42">
        <f t="shared" si="13"/>
        <v>23703.83</v>
      </c>
      <c r="J290" s="42">
        <f t="shared" si="13"/>
        <v>6787.52</v>
      </c>
      <c r="K290" s="42">
        <f t="shared" si="13"/>
        <v>2395</v>
      </c>
      <c r="L290" s="41">
        <f t="shared" si="13"/>
        <v>611752.71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v>52249.74</v>
      </c>
      <c r="G296" s="18">
        <v>15853.66</v>
      </c>
      <c r="H296" s="18">
        <v>2295.61</v>
      </c>
      <c r="I296" s="18">
        <v>885.29</v>
      </c>
      <c r="J296" s="18">
        <v>109.37</v>
      </c>
      <c r="K296" s="18"/>
      <c r="L296" s="19">
        <f>SUM(F296:K296)</f>
        <v>71393.669999999984</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v>52</v>
      </c>
      <c r="J298" s="18"/>
      <c r="K298" s="18"/>
      <c r="L298" s="19">
        <f>SUM(F298:K298)</f>
        <v>52</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60938.14</v>
      </c>
      <c r="G300" s="18">
        <v>36459.050000000003</v>
      </c>
      <c r="H300" s="18">
        <v>3537.2</v>
      </c>
      <c r="I300" s="18">
        <v>858.4</v>
      </c>
      <c r="J300" s="18">
        <v>280</v>
      </c>
      <c r="K300" s="18"/>
      <c r="L300" s="19">
        <f t="shared" ref="L300:L306" si="14">SUM(F300:K300)</f>
        <v>102072.79</v>
      </c>
      <c r="M300" s="8"/>
      <c r="N300" s="266"/>
    </row>
    <row r="301" spans="1:14" s="3" customFormat="1" ht="12.2" customHeight="1" x14ac:dyDescent="0.15">
      <c r="A301" s="1" t="s">
        <v>443</v>
      </c>
      <c r="B301" s="2" t="s">
        <v>358</v>
      </c>
      <c r="C301" s="2" t="s">
        <v>295</v>
      </c>
      <c r="D301" s="2" t="s">
        <v>431</v>
      </c>
      <c r="E301" s="6">
        <v>2200</v>
      </c>
      <c r="F301" s="18">
        <v>5832.4</v>
      </c>
      <c r="G301" s="18">
        <v>1439.06</v>
      </c>
      <c r="H301" s="18">
        <v>18829.830000000002</v>
      </c>
      <c r="I301" s="18">
        <v>2668.83</v>
      </c>
      <c r="J301" s="18">
        <v>4006.72</v>
      </c>
      <c r="K301" s="18"/>
      <c r="L301" s="19">
        <f t="shared" si="14"/>
        <v>32776.840000000004</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119020.28</v>
      </c>
      <c r="G309" s="42">
        <f t="shared" si="15"/>
        <v>53751.770000000004</v>
      </c>
      <c r="H309" s="42">
        <f t="shared" si="15"/>
        <v>24662.639999999999</v>
      </c>
      <c r="I309" s="42">
        <f t="shared" si="15"/>
        <v>4464.5200000000004</v>
      </c>
      <c r="J309" s="42">
        <f t="shared" si="15"/>
        <v>4396.09</v>
      </c>
      <c r="K309" s="42">
        <f t="shared" si="15"/>
        <v>0</v>
      </c>
      <c r="L309" s="41">
        <f t="shared" si="15"/>
        <v>206295.29999999996</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63751.46</v>
      </c>
      <c r="G314" s="18">
        <v>13874.06</v>
      </c>
      <c r="H314" s="18"/>
      <c r="I314" s="18"/>
      <c r="J314" s="18"/>
      <c r="K314" s="18"/>
      <c r="L314" s="19">
        <f>SUM(F314:K314)</f>
        <v>77625.52</v>
      </c>
      <c r="M314" s="8"/>
      <c r="N314" s="266"/>
    </row>
    <row r="315" spans="1:14" s="3" customFormat="1" ht="12.2" customHeight="1" x14ac:dyDescent="0.15">
      <c r="A315" s="1" t="s">
        <v>439</v>
      </c>
      <c r="B315" s="2" t="s">
        <v>359</v>
      </c>
      <c r="C315" s="2" t="s">
        <v>291</v>
      </c>
      <c r="D315" s="2" t="s">
        <v>431</v>
      </c>
      <c r="E315" s="6">
        <v>1200</v>
      </c>
      <c r="F315" s="18">
        <v>61580.05</v>
      </c>
      <c r="G315" s="18">
        <v>18684.669999999998</v>
      </c>
      <c r="H315" s="18">
        <v>2705.53</v>
      </c>
      <c r="I315" s="18">
        <v>1043.3800000000001</v>
      </c>
      <c r="J315" s="18">
        <v>128.9</v>
      </c>
      <c r="K315" s="18"/>
      <c r="L315" s="19">
        <f>SUM(F315:K315)</f>
        <v>84142.53</v>
      </c>
      <c r="M315" s="8"/>
      <c r="N315" s="266"/>
    </row>
    <row r="316" spans="1:14" s="3" customFormat="1" ht="12.2" customHeight="1" x14ac:dyDescent="0.15">
      <c r="A316" s="1" t="s">
        <v>440</v>
      </c>
      <c r="B316" s="2" t="s">
        <v>359</v>
      </c>
      <c r="C316" s="2" t="s">
        <v>292</v>
      </c>
      <c r="D316" s="2" t="s">
        <v>431</v>
      </c>
      <c r="E316" s="6">
        <v>1300</v>
      </c>
      <c r="F316" s="18"/>
      <c r="G316" s="18"/>
      <c r="H316" s="18">
        <v>5269.73</v>
      </c>
      <c r="I316" s="18">
        <v>3601.29</v>
      </c>
      <c r="J316" s="18">
        <v>85428.53</v>
      </c>
      <c r="K316" s="18">
        <v>3767.23</v>
      </c>
      <c r="L316" s="19">
        <f>SUM(F316:K316)</f>
        <v>98066.78</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71782.179999999993</v>
      </c>
      <c r="G319" s="18">
        <v>42969.599999999999</v>
      </c>
      <c r="H319" s="18">
        <v>5168.84</v>
      </c>
      <c r="I319" s="18">
        <v>1011.68</v>
      </c>
      <c r="J319" s="18">
        <v>330</v>
      </c>
      <c r="K319" s="18"/>
      <c r="L319" s="19">
        <f t="shared" ref="L319:L325" si="16">SUM(F319:K319)</f>
        <v>121262.29999999999</v>
      </c>
      <c r="M319" s="8"/>
      <c r="N319" s="266"/>
    </row>
    <row r="320" spans="1:14" s="3" customFormat="1" ht="12.2" customHeight="1" x14ac:dyDescent="0.15">
      <c r="A320" s="1" t="s">
        <v>443</v>
      </c>
      <c r="B320" s="2" t="s">
        <v>359</v>
      </c>
      <c r="C320" s="2" t="s">
        <v>295</v>
      </c>
      <c r="D320" s="2" t="s">
        <v>431</v>
      </c>
      <c r="E320" s="6">
        <v>2200</v>
      </c>
      <c r="F320" s="18">
        <v>6873.9</v>
      </c>
      <c r="G320" s="18">
        <v>1696.03</v>
      </c>
      <c r="H320" s="18">
        <v>22272.3</v>
      </c>
      <c r="I320" s="18">
        <v>3145.4</v>
      </c>
      <c r="J320" s="18">
        <v>4722.2</v>
      </c>
      <c r="K320" s="18"/>
      <c r="L320" s="19">
        <f t="shared" si="16"/>
        <v>38709.829999999994</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v>10457.620000000001</v>
      </c>
      <c r="I325" s="18">
        <v>2308.25</v>
      </c>
      <c r="J325" s="18"/>
      <c r="K325" s="18"/>
      <c r="L325" s="19">
        <f t="shared" si="16"/>
        <v>12765.87</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203987.59</v>
      </c>
      <c r="G328" s="42">
        <f t="shared" si="17"/>
        <v>77224.359999999986</v>
      </c>
      <c r="H328" s="42">
        <f t="shared" si="17"/>
        <v>45874.020000000004</v>
      </c>
      <c r="I328" s="42">
        <f t="shared" si="17"/>
        <v>11110</v>
      </c>
      <c r="J328" s="42">
        <f t="shared" si="17"/>
        <v>90609.62999999999</v>
      </c>
      <c r="K328" s="42">
        <f t="shared" si="17"/>
        <v>3767.23</v>
      </c>
      <c r="L328" s="41">
        <f t="shared" si="17"/>
        <v>432572.83</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714441.26</v>
      </c>
      <c r="G338" s="41">
        <f t="shared" si="20"/>
        <v>239988.49</v>
      </c>
      <c r="H338" s="41">
        <f t="shared" si="20"/>
        <v>148957.27000000002</v>
      </c>
      <c r="I338" s="41">
        <f t="shared" si="20"/>
        <v>39278.350000000006</v>
      </c>
      <c r="J338" s="41">
        <f t="shared" si="20"/>
        <v>101793.23999999999</v>
      </c>
      <c r="K338" s="41">
        <f t="shared" si="20"/>
        <v>6162.23</v>
      </c>
      <c r="L338" s="41">
        <f t="shared" si="20"/>
        <v>1250620.8399999999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714441.26</v>
      </c>
      <c r="G352" s="41">
        <f>G338</f>
        <v>239988.49</v>
      </c>
      <c r="H352" s="41">
        <f>H338</f>
        <v>148957.27000000002</v>
      </c>
      <c r="I352" s="41">
        <f>I338</f>
        <v>39278.350000000006</v>
      </c>
      <c r="J352" s="41">
        <f>J338</f>
        <v>101793.23999999999</v>
      </c>
      <c r="K352" s="47">
        <f>K338+K351</f>
        <v>6162.23</v>
      </c>
      <c r="L352" s="41">
        <f>L338+L351</f>
        <v>1250620.8399999999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107460.88</v>
      </c>
      <c r="G358" s="18">
        <v>18805.32</v>
      </c>
      <c r="H358" s="18">
        <v>461.16</v>
      </c>
      <c r="I358" s="18">
        <v>86063.360000000001</v>
      </c>
      <c r="J358" s="18">
        <v>815.1</v>
      </c>
      <c r="K358" s="18">
        <v>3126.2599999999998</v>
      </c>
      <c r="L358" s="13">
        <f>SUM(F358:K358)</f>
        <v>216732.08000000005</v>
      </c>
      <c r="N358" s="264"/>
      <c r="R358" s="3"/>
      <c r="S358" s="3"/>
      <c r="T358" s="3"/>
      <c r="U358" s="3"/>
      <c r="V358" s="3"/>
    </row>
    <row r="359" spans="1:22" s="3" customFormat="1" ht="12.2" customHeight="1" x14ac:dyDescent="0.15">
      <c r="A359" s="1" t="s">
        <v>542</v>
      </c>
      <c r="B359" s="2" t="s">
        <v>366</v>
      </c>
      <c r="C359" s="6">
        <v>2</v>
      </c>
      <c r="D359" s="2" t="s">
        <v>431</v>
      </c>
      <c r="E359" s="6"/>
      <c r="F359" s="18">
        <v>54583.839999999997</v>
      </c>
      <c r="G359" s="18">
        <v>9549.58</v>
      </c>
      <c r="H359" s="18">
        <v>390</v>
      </c>
      <c r="I359" s="18">
        <v>66745.48</v>
      </c>
      <c r="J359" s="18">
        <v>125</v>
      </c>
      <c r="K359" s="18">
        <v>2950</v>
      </c>
      <c r="L359" s="19">
        <f>SUM(F359:K359)</f>
        <v>134343.9</v>
      </c>
      <c r="M359" s="8"/>
      <c r="N359" s="266"/>
    </row>
    <row r="360" spans="1:22" s="3" customFormat="1" ht="12.2" customHeight="1" x14ac:dyDescent="0.15">
      <c r="A360" s="3" t="s">
        <v>543</v>
      </c>
      <c r="B360" s="2" t="s">
        <v>366</v>
      </c>
      <c r="C360" s="6">
        <v>3</v>
      </c>
      <c r="D360" s="2" t="s">
        <v>431</v>
      </c>
      <c r="E360" s="6"/>
      <c r="F360" s="18">
        <v>117932.56</v>
      </c>
      <c r="G360" s="18">
        <v>20617.29</v>
      </c>
      <c r="H360" s="18">
        <v>2861.5699999999997</v>
      </c>
      <c r="I360" s="18">
        <v>119957.99</v>
      </c>
      <c r="J360" s="18"/>
      <c r="K360" s="18">
        <v>3077.46</v>
      </c>
      <c r="L360" s="19">
        <f>SUM(F360:K360)</f>
        <v>264446.87000000005</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279977.28000000003</v>
      </c>
      <c r="G362" s="47">
        <f t="shared" si="22"/>
        <v>48972.19</v>
      </c>
      <c r="H362" s="47">
        <f t="shared" si="22"/>
        <v>3712.7299999999996</v>
      </c>
      <c r="I362" s="47">
        <f t="shared" si="22"/>
        <v>272766.83</v>
      </c>
      <c r="J362" s="47">
        <f t="shared" si="22"/>
        <v>940.1</v>
      </c>
      <c r="K362" s="47">
        <f t="shared" si="22"/>
        <v>9153.7200000000012</v>
      </c>
      <c r="L362" s="47">
        <f t="shared" si="22"/>
        <v>615522.85000000009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78259.899999999994</v>
      </c>
      <c r="G367" s="18">
        <v>57630.59</v>
      </c>
      <c r="H367" s="18">
        <v>104381.77</v>
      </c>
      <c r="I367" s="56">
        <f>SUM(F367:H367)</f>
        <v>240272.26</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7803.46</v>
      </c>
      <c r="G368" s="63">
        <v>9114.89</v>
      </c>
      <c r="H368" s="63">
        <v>15576.22</v>
      </c>
      <c r="I368" s="56">
        <f>SUM(F368:H368)</f>
        <v>32494.57</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86063.360000000001</v>
      </c>
      <c r="G369" s="47">
        <f>SUM(G367:G368)</f>
        <v>66745.48</v>
      </c>
      <c r="H369" s="47">
        <f>SUM(H367:H368)</f>
        <v>119957.99</v>
      </c>
      <c r="I369" s="47">
        <f>SUM(I367:I368)</f>
        <v>272766.83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2050793.99</v>
      </c>
      <c r="I379" s="18"/>
      <c r="J379" s="18"/>
      <c r="K379" s="18"/>
      <c r="L379" s="13">
        <f t="shared" si="23"/>
        <v>2050793.99</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2050793.99</v>
      </c>
      <c r="I382" s="41">
        <f t="shared" si="24"/>
        <v>0</v>
      </c>
      <c r="J382" s="47">
        <f t="shared" si="24"/>
        <v>0</v>
      </c>
      <c r="K382" s="47">
        <f t="shared" si="24"/>
        <v>0</v>
      </c>
      <c r="L382" s="47">
        <f t="shared" si="24"/>
        <v>2050793.99</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55637.96</v>
      </c>
      <c r="I400" s="18">
        <v>14244</v>
      </c>
      <c r="J400" s="24" t="s">
        <v>288</v>
      </c>
      <c r="K400" s="24" t="s">
        <v>288</v>
      </c>
      <c r="L400" s="56">
        <f t="shared" si="26"/>
        <v>69881.959999999992</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55637.96</v>
      </c>
      <c r="I401" s="47">
        <f>SUM(I395:I400)</f>
        <v>14244</v>
      </c>
      <c r="J401" s="45" t="s">
        <v>288</v>
      </c>
      <c r="K401" s="45" t="s">
        <v>288</v>
      </c>
      <c r="L401" s="47">
        <f>SUM(L395:L400)</f>
        <v>69881.959999999992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v>175170.63</v>
      </c>
      <c r="I403" s="18"/>
      <c r="J403" s="24" t="s">
        <v>288</v>
      </c>
      <c r="K403" s="24" t="s">
        <v>288</v>
      </c>
      <c r="L403" s="56">
        <f>SUM(F403:K403)</f>
        <v>175170.63</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175170.63</v>
      </c>
      <c r="I407" s="47">
        <f>SUM(I403:I406)</f>
        <v>0</v>
      </c>
      <c r="J407" s="49" t="s">
        <v>288</v>
      </c>
      <c r="K407" s="49" t="s">
        <v>288</v>
      </c>
      <c r="L407" s="47">
        <f>SUM(L403:L406)</f>
        <v>175170.63</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230808.59</v>
      </c>
      <c r="I408" s="47">
        <f>I393+I401+I407</f>
        <v>14244</v>
      </c>
      <c r="J408" s="24" t="s">
        <v>288</v>
      </c>
      <c r="K408" s="24" t="s">
        <v>288</v>
      </c>
      <c r="L408" s="47">
        <f>L393+L401+L407</f>
        <v>245052.59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v>0</v>
      </c>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v>3384.54</v>
      </c>
      <c r="J429" s="18"/>
      <c r="K429" s="18">
        <v>35000</v>
      </c>
      <c r="L429" s="56">
        <f>SUM(F429:K429)</f>
        <v>38384.54</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3384.54</v>
      </c>
      <c r="J433" s="47">
        <f t="shared" si="31"/>
        <v>0</v>
      </c>
      <c r="K433" s="47">
        <f t="shared" si="31"/>
        <v>35000</v>
      </c>
      <c r="L433" s="47">
        <f t="shared" si="31"/>
        <v>38384.54</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3384.54</v>
      </c>
      <c r="J434" s="47">
        <f t="shared" si="32"/>
        <v>0</v>
      </c>
      <c r="K434" s="47">
        <f t="shared" si="32"/>
        <v>35000</v>
      </c>
      <c r="L434" s="47">
        <f t="shared" si="32"/>
        <v>38384.54</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169393.41</v>
      </c>
      <c r="H442" s="18">
        <v>4600274.9800000004</v>
      </c>
      <c r="I442" s="56">
        <f t="shared" si="33"/>
        <v>4769668.3900000006</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169393.41</v>
      </c>
      <c r="H446" s="13">
        <f>SUM(H439:H445)</f>
        <v>4600274.9800000004</v>
      </c>
      <c r="I446" s="13">
        <f>SUM(I439:I445)</f>
        <v>4769668.3900000006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v>160756.4</v>
      </c>
      <c r="H456" s="18">
        <v>4378103.4000000004</v>
      </c>
      <c r="I456" s="56">
        <f t="shared" si="34"/>
        <v>4538859.8000000007</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v>5949.41</v>
      </c>
      <c r="H457" s="18">
        <v>159919.85</v>
      </c>
      <c r="I457" s="56">
        <f t="shared" si="34"/>
        <v>165869.26</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v>2687.6</v>
      </c>
      <c r="H458" s="18">
        <v>62251.73</v>
      </c>
      <c r="I458" s="56">
        <f t="shared" si="34"/>
        <v>64939.33</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169393.41</v>
      </c>
      <c r="H460" s="83">
        <f>SUM(H454:H459)</f>
        <v>4600274.9800000004</v>
      </c>
      <c r="I460" s="83">
        <f>SUM(I454:I459)</f>
        <v>4769668.3900000006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169393.41</v>
      </c>
      <c r="H461" s="42">
        <f>H452+H460</f>
        <v>4600274.9800000004</v>
      </c>
      <c r="I461" s="42">
        <f>I452+I460</f>
        <v>4769668.3900000006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1000020.24</v>
      </c>
      <c r="G465" s="18">
        <v>42855.35</v>
      </c>
      <c r="H465" s="18">
        <v>66818.600000000006</v>
      </c>
      <c r="I465" s="18">
        <v>2281323.4499999997</v>
      </c>
      <c r="J465" s="18">
        <v>4430975.8600000003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39450474.399999999</v>
      </c>
      <c r="G468" s="18">
        <v>672871.14</v>
      </c>
      <c r="H468" s="18">
        <v>1241592.43</v>
      </c>
      <c r="I468" s="18">
        <v>7807.98</v>
      </c>
      <c r="J468" s="18">
        <v>245052.59</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v>132024.48000000001</v>
      </c>
      <c r="K469" s="24" t="s">
        <v>288</v>
      </c>
      <c r="L469" s="24" t="s">
        <v>288</v>
      </c>
      <c r="N469" s="265"/>
    </row>
    <row r="470" spans="1:14" s="52" customFormat="1" ht="12.2" customHeight="1" x14ac:dyDescent="0.2">
      <c r="A470" s="92" t="s">
        <v>425</v>
      </c>
      <c r="B470" s="75">
        <v>19</v>
      </c>
      <c r="C470" s="80">
        <v>4</v>
      </c>
      <c r="D470" s="2" t="s">
        <v>432</v>
      </c>
      <c r="E470" s="80"/>
      <c r="F470" s="53">
        <f>SUM(F468:F469)</f>
        <v>39450474.399999999</v>
      </c>
      <c r="G470" s="53">
        <f>SUM(G468:G469)</f>
        <v>672871.14</v>
      </c>
      <c r="H470" s="53">
        <f>SUM(H468:H469)</f>
        <v>1241592.43</v>
      </c>
      <c r="I470" s="53">
        <f>SUM(I468:I469)</f>
        <v>7807.98</v>
      </c>
      <c r="J470" s="53">
        <f>SUM(J468:J469)</f>
        <v>377077.07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39617904.329999998</v>
      </c>
      <c r="G472" s="18">
        <v>615522.85</v>
      </c>
      <c r="H472" s="18">
        <v>1250620.8399999999</v>
      </c>
      <c r="I472" s="18">
        <v>2050793.99</v>
      </c>
      <c r="J472" s="18">
        <v>38384.54</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39617904.329999998</v>
      </c>
      <c r="G474" s="53">
        <f>SUM(G472:G473)</f>
        <v>615522.85</v>
      </c>
      <c r="H474" s="53">
        <f>SUM(H472:H473)</f>
        <v>1250620.8399999999</v>
      </c>
      <c r="I474" s="53">
        <f>SUM(I472:I473)</f>
        <v>2050793.99</v>
      </c>
      <c r="J474" s="53">
        <f>SUM(J472:J473)</f>
        <v>38384.54</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832590.31000000238</v>
      </c>
      <c r="G476" s="53">
        <f>(G465+G470)- G474</f>
        <v>100203.64000000001</v>
      </c>
      <c r="H476" s="53">
        <f>(H465+H470)- H474</f>
        <v>57790.190000000177</v>
      </c>
      <c r="I476" s="53">
        <f>(I465+I470)- I474</f>
        <v>238337.43999999971</v>
      </c>
      <c r="J476" s="53">
        <f>(J465+J470)- J474</f>
        <v>4769668.3900000006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10</v>
      </c>
      <c r="H490" s="154">
        <v>20</v>
      </c>
      <c r="I490" s="154">
        <v>10</v>
      </c>
      <c r="J490" s="154">
        <v>5</v>
      </c>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10895000</v>
      </c>
      <c r="G493" s="18">
        <v>1404300</v>
      </c>
      <c r="H493" s="18">
        <v>4393500</v>
      </c>
      <c r="I493" s="18">
        <v>2553500</v>
      </c>
      <c r="J493" s="18">
        <v>123530</v>
      </c>
      <c r="K493" s="24" t="s">
        <v>288</v>
      </c>
      <c r="L493" s="24" t="s">
        <v>288</v>
      </c>
      <c r="N493" s="265"/>
    </row>
    <row r="494" spans="1:14" s="52" customFormat="1" ht="12.2" customHeight="1" x14ac:dyDescent="0.2">
      <c r="A494" s="22" t="s">
        <v>618</v>
      </c>
      <c r="B494" s="75">
        <v>20</v>
      </c>
      <c r="C494" s="115">
        <v>5</v>
      </c>
      <c r="D494" s="2" t="s">
        <v>432</v>
      </c>
      <c r="E494" s="115"/>
      <c r="F494" s="18">
        <v>5.58</v>
      </c>
      <c r="G494" s="18">
        <v>5.0999999999999996</v>
      </c>
      <c r="H494" s="18">
        <v>4.43</v>
      </c>
      <c r="I494" s="18">
        <v>5.0999999999999996</v>
      </c>
      <c r="J494" s="18"/>
      <c r="K494" s="24" t="s">
        <v>288</v>
      </c>
      <c r="L494" s="24" t="s">
        <v>288</v>
      </c>
      <c r="N494" s="265"/>
    </row>
    <row r="495" spans="1:14" s="52" customFormat="1" ht="12.2" customHeight="1" x14ac:dyDescent="0.2">
      <c r="A495" s="22" t="s">
        <v>619</v>
      </c>
      <c r="B495" s="75">
        <v>20</v>
      </c>
      <c r="C495" s="115">
        <v>6</v>
      </c>
      <c r="D495" s="2" t="s">
        <v>432</v>
      </c>
      <c r="E495" s="115"/>
      <c r="F495" s="18">
        <v>1085000</v>
      </c>
      <c r="G495" s="18">
        <v>840000</v>
      </c>
      <c r="H495" s="18">
        <v>2195000</v>
      </c>
      <c r="I495" s="18">
        <v>2553500</v>
      </c>
      <c r="J495" s="18">
        <v>51871.88</v>
      </c>
      <c r="K495" s="53">
        <f>SUM(F495:J495)</f>
        <v>6725371.8799999999</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545000</v>
      </c>
      <c r="G497" s="18">
        <v>140000</v>
      </c>
      <c r="H497" s="18">
        <v>220000</v>
      </c>
      <c r="I497" s="18">
        <v>258500</v>
      </c>
      <c r="J497" s="18">
        <v>24726.83</v>
      </c>
      <c r="K497" s="53">
        <f t="shared" si="35"/>
        <v>1188226.83</v>
      </c>
      <c r="L497" s="24" t="s">
        <v>288</v>
      </c>
      <c r="N497" s="265"/>
    </row>
    <row r="498" spans="1:14" s="52" customFormat="1" ht="12.2" customHeight="1" x14ac:dyDescent="0.2">
      <c r="A498" s="200" t="s">
        <v>622</v>
      </c>
      <c r="B498" s="201">
        <v>20</v>
      </c>
      <c r="C498" s="202">
        <v>9</v>
      </c>
      <c r="D498" s="203" t="s">
        <v>432</v>
      </c>
      <c r="E498" s="202"/>
      <c r="F498" s="204">
        <v>540000</v>
      </c>
      <c r="G498" s="204">
        <v>700000</v>
      </c>
      <c r="H498" s="204">
        <v>1975000</v>
      </c>
      <c r="I498" s="204">
        <v>2295000</v>
      </c>
      <c r="J498" s="204">
        <v>27145.05</v>
      </c>
      <c r="K498" s="205">
        <f t="shared" si="35"/>
        <v>5537145.0499999998</v>
      </c>
      <c r="L498" s="206" t="s">
        <v>288</v>
      </c>
      <c r="N498" s="265"/>
    </row>
    <row r="499" spans="1:14" s="52" customFormat="1" ht="12.2" customHeight="1" thickBot="1" x14ac:dyDescent="0.25">
      <c r="A499" s="22" t="s">
        <v>623</v>
      </c>
      <c r="B499" s="75">
        <v>20</v>
      </c>
      <c r="C499" s="115">
        <v>10</v>
      </c>
      <c r="D499" s="2" t="s">
        <v>432</v>
      </c>
      <c r="E499" s="115"/>
      <c r="F499" s="18">
        <v>31050</v>
      </c>
      <c r="G499" s="18">
        <v>93450</v>
      </c>
      <c r="H499" s="18">
        <v>350119.34</v>
      </c>
      <c r="I499" s="18">
        <v>526702.5</v>
      </c>
      <c r="J499" s="18">
        <v>1367.41</v>
      </c>
      <c r="K499" s="53">
        <f t="shared" si="35"/>
        <v>1002689.2500000001</v>
      </c>
      <c r="L499" s="24" t="s">
        <v>288</v>
      </c>
      <c r="N499" s="265"/>
    </row>
    <row r="500" spans="1:14" s="52" customFormat="1" ht="12.2" customHeight="1" thickTop="1" x14ac:dyDescent="0.2">
      <c r="A500" s="139" t="s">
        <v>624</v>
      </c>
      <c r="B500" s="44">
        <v>20</v>
      </c>
      <c r="C500" s="195">
        <v>11</v>
      </c>
      <c r="D500" s="39" t="s">
        <v>432</v>
      </c>
      <c r="E500" s="195"/>
      <c r="F500" s="42">
        <f>SUM(F498:F499)</f>
        <v>571050</v>
      </c>
      <c r="G500" s="42">
        <f>SUM(G498:G499)</f>
        <v>793450</v>
      </c>
      <c r="H500" s="42">
        <f>SUM(H498:H499)</f>
        <v>2325119.34</v>
      </c>
      <c r="I500" s="42">
        <f>SUM(I498:I499)</f>
        <v>2821702.5</v>
      </c>
      <c r="J500" s="42">
        <f>SUM(J498:J499)</f>
        <v>28512.46</v>
      </c>
      <c r="K500" s="42">
        <f t="shared" si="35"/>
        <v>6539834.2999999998</v>
      </c>
      <c r="L500" s="45" t="s">
        <v>288</v>
      </c>
      <c r="N500" s="265"/>
    </row>
    <row r="501" spans="1:14" s="52" customFormat="1" ht="12.2" customHeight="1" x14ac:dyDescent="0.2">
      <c r="A501" s="200" t="s">
        <v>651</v>
      </c>
      <c r="B501" s="201">
        <v>20</v>
      </c>
      <c r="C501" s="202">
        <v>12</v>
      </c>
      <c r="D501" s="203" t="s">
        <v>432</v>
      </c>
      <c r="E501" s="202"/>
      <c r="F501" s="204">
        <v>540000</v>
      </c>
      <c r="G501" s="204">
        <v>140000</v>
      </c>
      <c r="H501" s="204">
        <v>220000</v>
      </c>
      <c r="I501" s="204">
        <v>255000</v>
      </c>
      <c r="J501" s="204">
        <v>13349.59</v>
      </c>
      <c r="K501" s="205">
        <f t="shared" si="35"/>
        <v>1168349.5900000001</v>
      </c>
      <c r="L501" s="206" t="s">
        <v>288</v>
      </c>
      <c r="N501" s="265"/>
    </row>
    <row r="502" spans="1:14" s="52" customFormat="1" ht="12.2" customHeight="1" thickBot="1" x14ac:dyDescent="0.25">
      <c r="A502" s="22" t="s">
        <v>625</v>
      </c>
      <c r="B502" s="75">
        <v>20</v>
      </c>
      <c r="C502" s="115">
        <v>13</v>
      </c>
      <c r="D502" s="2" t="s">
        <v>432</v>
      </c>
      <c r="E502" s="115"/>
      <c r="F502" s="18">
        <v>31050</v>
      </c>
      <c r="G502" s="18">
        <v>33530</v>
      </c>
      <c r="H502" s="18">
        <v>76706.259999999995</v>
      </c>
      <c r="I502" s="18">
        <v>110542.5</v>
      </c>
      <c r="J502" s="18">
        <v>906.64</v>
      </c>
      <c r="K502" s="53">
        <f t="shared" si="35"/>
        <v>252735.40000000002</v>
      </c>
      <c r="L502" s="24" t="s">
        <v>288</v>
      </c>
      <c r="N502" s="265"/>
    </row>
    <row r="503" spans="1:14" s="52" customFormat="1" ht="12.2" customHeight="1" thickTop="1" x14ac:dyDescent="0.2">
      <c r="A503" s="139" t="s">
        <v>626</v>
      </c>
      <c r="B503" s="44">
        <v>20</v>
      </c>
      <c r="C503" s="195">
        <v>14</v>
      </c>
      <c r="D503" s="39" t="s">
        <v>432</v>
      </c>
      <c r="E503" s="195"/>
      <c r="F503" s="42">
        <f>SUM(F501:F502)</f>
        <v>571050</v>
      </c>
      <c r="G503" s="42">
        <f>SUM(G501:G502)</f>
        <v>173530</v>
      </c>
      <c r="H503" s="42">
        <f>SUM(H501:H502)</f>
        <v>296706.26</v>
      </c>
      <c r="I503" s="42">
        <f>SUM(I501:I502)</f>
        <v>365542.5</v>
      </c>
      <c r="J503" s="42">
        <f>SUM(J501:J502)</f>
        <v>14256.23</v>
      </c>
      <c r="K503" s="42">
        <f t="shared" si="35"/>
        <v>1421084.99</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1961396.85</v>
      </c>
      <c r="G507" s="144">
        <v>124736.75</v>
      </c>
      <c r="H507" s="144"/>
      <c r="I507" s="144">
        <v>2086133.6</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1915866.92</v>
      </c>
      <c r="G521" s="18">
        <v>985759.95000000007</v>
      </c>
      <c r="H521" s="18">
        <v>180904.03999999998</v>
      </c>
      <c r="I521" s="18">
        <v>16070.919999999998</v>
      </c>
      <c r="J521" s="18">
        <v>4174.8</v>
      </c>
      <c r="K521" s="18"/>
      <c r="L521" s="88">
        <f>SUM(F521:K521)</f>
        <v>3102776.63</v>
      </c>
      <c r="N521" s="265"/>
    </row>
    <row r="522" spans="1:14" s="52" customFormat="1" ht="12.2" customHeight="1" x14ac:dyDescent="0.2">
      <c r="A522" s="22" t="s">
        <v>634</v>
      </c>
      <c r="B522" s="105">
        <v>21</v>
      </c>
      <c r="C522" s="115">
        <v>2</v>
      </c>
      <c r="D522" s="2" t="s">
        <v>432</v>
      </c>
      <c r="E522" s="115"/>
      <c r="F522" s="18">
        <v>985859.8899999999</v>
      </c>
      <c r="G522" s="18">
        <v>575466.04</v>
      </c>
      <c r="H522" s="18">
        <v>129415.79</v>
      </c>
      <c r="I522" s="18">
        <v>8422.4</v>
      </c>
      <c r="J522" s="18">
        <v>417.98</v>
      </c>
      <c r="K522" s="18"/>
      <c r="L522" s="88">
        <f>SUM(F522:K522)</f>
        <v>1699582.0999999999</v>
      </c>
      <c r="N522" s="265"/>
    </row>
    <row r="523" spans="1:14" s="52" customFormat="1" ht="12.2" customHeight="1" thickBot="1" x14ac:dyDescent="0.25">
      <c r="A523" s="22" t="s">
        <v>635</v>
      </c>
      <c r="B523" s="105">
        <v>21</v>
      </c>
      <c r="C523" s="115">
        <v>3</v>
      </c>
      <c r="D523" s="2" t="s">
        <v>432</v>
      </c>
      <c r="E523" s="115"/>
      <c r="F523" s="18">
        <v>1103862.47</v>
      </c>
      <c r="G523" s="18">
        <v>459497.93</v>
      </c>
      <c r="H523" s="18">
        <v>564573.27999999991</v>
      </c>
      <c r="I523" s="18">
        <v>5859.02</v>
      </c>
      <c r="J523" s="18">
        <v>173.75</v>
      </c>
      <c r="K523" s="18"/>
      <c r="L523" s="88">
        <f>SUM(F523:K523)</f>
        <v>2133966.4499999997</v>
      </c>
      <c r="N523" s="265"/>
    </row>
    <row r="524" spans="1:14" s="52" customFormat="1" ht="12.2" customHeight="1" thickTop="1" x14ac:dyDescent="0.2">
      <c r="A524" s="139" t="s">
        <v>63</v>
      </c>
      <c r="B524" s="107">
        <v>21</v>
      </c>
      <c r="C524" s="195">
        <v>4</v>
      </c>
      <c r="D524" s="196" t="s">
        <v>432</v>
      </c>
      <c r="E524" s="195"/>
      <c r="F524" s="108">
        <f>SUM(F521:F523)</f>
        <v>4005589.2799999993</v>
      </c>
      <c r="G524" s="108">
        <f t="shared" ref="G524:L524" si="36">SUM(G521:G523)</f>
        <v>2020723.9200000002</v>
      </c>
      <c r="H524" s="108">
        <f t="shared" si="36"/>
        <v>874893.10999999987</v>
      </c>
      <c r="I524" s="108">
        <f t="shared" si="36"/>
        <v>30352.34</v>
      </c>
      <c r="J524" s="108">
        <f t="shared" si="36"/>
        <v>4766.5300000000007</v>
      </c>
      <c r="K524" s="108">
        <f t="shared" si="36"/>
        <v>0</v>
      </c>
      <c r="L524" s="89">
        <f t="shared" si="36"/>
        <v>6936325.1799999997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1082715.81</v>
      </c>
      <c r="G526" s="18">
        <v>141092.16999999998</v>
      </c>
      <c r="H526" s="18">
        <v>47569.64</v>
      </c>
      <c r="I526" s="18">
        <v>7899.33</v>
      </c>
      <c r="J526" s="18">
        <v>1515.02</v>
      </c>
      <c r="K526" s="18"/>
      <c r="L526" s="88">
        <f>SUM(F526:K526)</f>
        <v>1280791.97</v>
      </c>
      <c r="M526" s="8"/>
      <c r="N526" s="266"/>
    </row>
    <row r="527" spans="1:14" s="3" customFormat="1" ht="12.2" customHeight="1" x14ac:dyDescent="0.15">
      <c r="A527" s="22" t="s">
        <v>634</v>
      </c>
      <c r="B527" s="105">
        <v>21</v>
      </c>
      <c r="C527" s="115">
        <v>6</v>
      </c>
      <c r="D527" s="2" t="s">
        <v>432</v>
      </c>
      <c r="E527" s="115"/>
      <c r="F527" s="18">
        <v>426228.82999999996</v>
      </c>
      <c r="G527" s="18">
        <v>143533.14000000001</v>
      </c>
      <c r="H527" s="18">
        <v>44757.58</v>
      </c>
      <c r="I527" s="18">
        <v>5301.79</v>
      </c>
      <c r="J527" s="18">
        <v>973.86</v>
      </c>
      <c r="K527" s="18"/>
      <c r="L527" s="88">
        <f>SUM(F527:K527)</f>
        <v>620795.19999999995</v>
      </c>
      <c r="M527" s="8"/>
      <c r="N527" s="266"/>
    </row>
    <row r="528" spans="1:14" s="3" customFormat="1" ht="12.2" customHeight="1" thickBot="1" x14ac:dyDescent="0.2">
      <c r="A528" s="22" t="s">
        <v>635</v>
      </c>
      <c r="B528" s="118">
        <v>21</v>
      </c>
      <c r="C528" s="118">
        <v>7</v>
      </c>
      <c r="D528" s="2" t="s">
        <v>432</v>
      </c>
      <c r="E528" s="118"/>
      <c r="F528" s="18">
        <v>760143.20000000007</v>
      </c>
      <c r="G528" s="18">
        <v>276572.91000000003</v>
      </c>
      <c r="H528" s="18">
        <v>39570.600000000006</v>
      </c>
      <c r="I528" s="18">
        <v>15203.9</v>
      </c>
      <c r="J528" s="18">
        <v>243.61</v>
      </c>
      <c r="K528" s="18">
        <v>802</v>
      </c>
      <c r="L528" s="88">
        <f>SUM(F528:K528)</f>
        <v>1092536.2200000002</v>
      </c>
      <c r="M528" s="8"/>
      <c r="N528" s="266"/>
    </row>
    <row r="529" spans="1:14" s="3" customFormat="1" ht="12.2" customHeight="1" thickTop="1" x14ac:dyDescent="0.15">
      <c r="A529" s="139" t="s">
        <v>65</v>
      </c>
      <c r="B529" s="107">
        <v>21</v>
      </c>
      <c r="C529" s="107">
        <v>8</v>
      </c>
      <c r="D529" s="158" t="s">
        <v>432</v>
      </c>
      <c r="E529" s="107"/>
      <c r="F529" s="89">
        <f>SUM(F526:F528)</f>
        <v>2269087.8400000003</v>
      </c>
      <c r="G529" s="89">
        <f t="shared" ref="G529:L529" si="37">SUM(G526:G528)</f>
        <v>561198.22</v>
      </c>
      <c r="H529" s="89">
        <f t="shared" si="37"/>
        <v>131897.82</v>
      </c>
      <c r="I529" s="89">
        <f t="shared" si="37"/>
        <v>28405.019999999997</v>
      </c>
      <c r="J529" s="89">
        <f t="shared" si="37"/>
        <v>2732.4900000000002</v>
      </c>
      <c r="K529" s="89">
        <f t="shared" si="37"/>
        <v>802</v>
      </c>
      <c r="L529" s="89">
        <f t="shared" si="37"/>
        <v>2994123.39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120868.65</v>
      </c>
      <c r="G531" s="18">
        <v>15373.16</v>
      </c>
      <c r="H531" s="18">
        <v>3327.8</v>
      </c>
      <c r="I531" s="18">
        <v>1261.48</v>
      </c>
      <c r="J531" s="18"/>
      <c r="K531" s="18">
        <v>854.55</v>
      </c>
      <c r="L531" s="88">
        <f>SUM(F531:K531)</f>
        <v>141685.63999999998</v>
      </c>
      <c r="M531" s="8"/>
      <c r="N531" s="266"/>
    </row>
    <row r="532" spans="1:14" s="3" customFormat="1" ht="12.2" customHeight="1" x14ac:dyDescent="0.15">
      <c r="A532" s="22" t="s">
        <v>634</v>
      </c>
      <c r="B532" s="105">
        <v>21</v>
      </c>
      <c r="C532" s="105">
        <v>10</v>
      </c>
      <c r="D532" s="2" t="s">
        <v>432</v>
      </c>
      <c r="E532" s="105"/>
      <c r="F532" s="18">
        <v>77893.13</v>
      </c>
      <c r="G532" s="18">
        <v>15861.19</v>
      </c>
      <c r="H532" s="18">
        <v>2144.58</v>
      </c>
      <c r="I532" s="18">
        <v>812.95</v>
      </c>
      <c r="J532" s="18"/>
      <c r="K532" s="18">
        <v>550.71</v>
      </c>
      <c r="L532" s="88">
        <f>SUM(F532:K532)</f>
        <v>97262.560000000012</v>
      </c>
      <c r="M532" s="8"/>
      <c r="N532" s="266"/>
    </row>
    <row r="533" spans="1:14" s="3" customFormat="1" ht="12.2" customHeight="1" thickBot="1" x14ac:dyDescent="0.2">
      <c r="A533" s="22" t="s">
        <v>635</v>
      </c>
      <c r="B533" s="105">
        <v>21</v>
      </c>
      <c r="C533" s="105">
        <v>11</v>
      </c>
      <c r="D533" s="2" t="s">
        <v>432</v>
      </c>
      <c r="E533" s="105"/>
      <c r="F533" s="18">
        <v>69835.22</v>
      </c>
      <c r="G533" s="18">
        <v>13665.03</v>
      </c>
      <c r="H533" s="18">
        <v>1922.73</v>
      </c>
      <c r="I533" s="18">
        <v>728.85</v>
      </c>
      <c r="J533" s="18"/>
      <c r="K533" s="18">
        <v>493.74</v>
      </c>
      <c r="L533" s="88">
        <f>SUM(F533:K533)</f>
        <v>86645.57</v>
      </c>
      <c r="M533" s="8"/>
      <c r="N533" s="266"/>
    </row>
    <row r="534" spans="1:14" s="3" customFormat="1" ht="12.2" customHeight="1" thickTop="1" x14ac:dyDescent="0.15">
      <c r="A534" s="139" t="s">
        <v>67</v>
      </c>
      <c r="B534" s="107">
        <v>21</v>
      </c>
      <c r="C534" s="107">
        <v>12</v>
      </c>
      <c r="D534" s="158" t="s">
        <v>432</v>
      </c>
      <c r="E534" s="107"/>
      <c r="F534" s="89">
        <f>SUM(F531:F533)</f>
        <v>268597</v>
      </c>
      <c r="G534" s="89">
        <f t="shared" ref="G534:L534" si="38">SUM(G531:G533)</f>
        <v>44899.38</v>
      </c>
      <c r="H534" s="89">
        <f t="shared" si="38"/>
        <v>7395.1100000000006</v>
      </c>
      <c r="I534" s="89">
        <f t="shared" si="38"/>
        <v>2803.28</v>
      </c>
      <c r="J534" s="89">
        <f t="shared" si="38"/>
        <v>0</v>
      </c>
      <c r="K534" s="89">
        <f t="shared" si="38"/>
        <v>1899</v>
      </c>
      <c r="L534" s="89">
        <f t="shared" si="38"/>
        <v>325593.77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33641.93</v>
      </c>
      <c r="I536" s="18"/>
      <c r="J536" s="18"/>
      <c r="K536" s="18"/>
      <c r="L536" s="88">
        <f>SUM(F536:K536)</f>
        <v>33641.93</v>
      </c>
      <c r="M536" s="8"/>
      <c r="N536" s="266"/>
    </row>
    <row r="537" spans="1:14" s="3" customFormat="1" ht="12.2" customHeight="1" x14ac:dyDescent="0.15">
      <c r="A537" s="22" t="s">
        <v>634</v>
      </c>
      <c r="B537" s="105">
        <v>21</v>
      </c>
      <c r="C537" s="105">
        <v>14</v>
      </c>
      <c r="D537" s="2" t="s">
        <v>432</v>
      </c>
      <c r="E537" s="105"/>
      <c r="F537" s="18"/>
      <c r="G537" s="18"/>
      <c r="H537" s="18">
        <v>24153.18</v>
      </c>
      <c r="I537" s="18"/>
      <c r="J537" s="18"/>
      <c r="K537" s="18"/>
      <c r="L537" s="88">
        <f>SUM(F537:K537)</f>
        <v>24153.18</v>
      </c>
      <c r="M537" s="8"/>
      <c r="N537" s="266"/>
    </row>
    <row r="538" spans="1:14" s="3" customFormat="1" ht="12.2" customHeight="1" thickBot="1" x14ac:dyDescent="0.2">
      <c r="A538" s="22" t="s">
        <v>635</v>
      </c>
      <c r="B538" s="105">
        <v>21</v>
      </c>
      <c r="C538" s="105">
        <v>15</v>
      </c>
      <c r="D538" s="2" t="s">
        <v>432</v>
      </c>
      <c r="E538" s="105"/>
      <c r="F538" s="18"/>
      <c r="G538" s="18"/>
      <c r="H538" s="18">
        <v>28466.25</v>
      </c>
      <c r="I538" s="18"/>
      <c r="J538" s="18"/>
      <c r="K538" s="18"/>
      <c r="L538" s="88">
        <f>SUM(F538:K538)</f>
        <v>28466.25</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86261.36</v>
      </c>
      <c r="I539" s="89">
        <f t="shared" si="39"/>
        <v>0</v>
      </c>
      <c r="J539" s="89">
        <f t="shared" si="39"/>
        <v>0</v>
      </c>
      <c r="K539" s="89">
        <f t="shared" si="39"/>
        <v>0</v>
      </c>
      <c r="L539" s="89">
        <f t="shared" si="39"/>
        <v>86261.36</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133784.63</v>
      </c>
      <c r="I541" s="18"/>
      <c r="J541" s="18"/>
      <c r="K541" s="18"/>
      <c r="L541" s="88">
        <f>SUM(F541:K541)</f>
        <v>133784.63</v>
      </c>
      <c r="M541" s="8"/>
      <c r="N541" s="266"/>
    </row>
    <row r="542" spans="1:14" s="3" customFormat="1" ht="12.2" customHeight="1" x14ac:dyDescent="0.15">
      <c r="A542" s="22" t="s">
        <v>634</v>
      </c>
      <c r="B542" s="105">
        <v>21</v>
      </c>
      <c r="C542" s="105">
        <v>18</v>
      </c>
      <c r="D542" s="2" t="s">
        <v>432</v>
      </c>
      <c r="E542" s="105"/>
      <c r="F542" s="18"/>
      <c r="G542" s="18"/>
      <c r="H542" s="18">
        <v>86462.54</v>
      </c>
      <c r="I542" s="18"/>
      <c r="J542" s="18"/>
      <c r="K542" s="18"/>
      <c r="L542" s="88">
        <f>SUM(F542:K542)</f>
        <v>86462.54</v>
      </c>
      <c r="M542" s="8"/>
      <c r="N542" s="266"/>
    </row>
    <row r="543" spans="1:14" s="3" customFormat="1" ht="12.2" customHeight="1" thickBot="1" x14ac:dyDescent="0.2">
      <c r="A543" s="22" t="s">
        <v>635</v>
      </c>
      <c r="B543" s="105">
        <v>21</v>
      </c>
      <c r="C543" s="105">
        <v>19</v>
      </c>
      <c r="D543" s="2" t="s">
        <v>432</v>
      </c>
      <c r="E543" s="105"/>
      <c r="F543" s="18"/>
      <c r="G543" s="18"/>
      <c r="H543" s="18">
        <v>133850.6</v>
      </c>
      <c r="I543" s="18"/>
      <c r="J543" s="18"/>
      <c r="K543" s="18"/>
      <c r="L543" s="88">
        <f>SUM(F543:K543)</f>
        <v>133850.6</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354097.77</v>
      </c>
      <c r="I544" s="193">
        <f t="shared" si="40"/>
        <v>0</v>
      </c>
      <c r="J544" s="193">
        <f t="shared" si="40"/>
        <v>0</v>
      </c>
      <c r="K544" s="193">
        <f t="shared" si="40"/>
        <v>0</v>
      </c>
      <c r="L544" s="193">
        <f t="shared" si="40"/>
        <v>354097.77</v>
      </c>
      <c r="M544" s="8"/>
      <c r="N544" s="266"/>
    </row>
    <row r="545" spans="1:14" s="3" customFormat="1" ht="12.2" customHeight="1" thickTop="1" x14ac:dyDescent="0.15">
      <c r="A545" s="98" t="s">
        <v>72</v>
      </c>
      <c r="B545" s="107">
        <v>21</v>
      </c>
      <c r="C545" s="107">
        <v>21</v>
      </c>
      <c r="D545" s="158" t="s">
        <v>432</v>
      </c>
      <c r="E545" s="107"/>
      <c r="F545" s="89">
        <f>F524+F529+F534+F539+F544</f>
        <v>6543274.1199999992</v>
      </c>
      <c r="G545" s="89">
        <f t="shared" ref="G545:L545" si="41">G524+G529+G534+G539+G544</f>
        <v>2626821.52</v>
      </c>
      <c r="H545" s="89">
        <f t="shared" si="41"/>
        <v>1454545.17</v>
      </c>
      <c r="I545" s="89">
        <f t="shared" si="41"/>
        <v>61560.639999999999</v>
      </c>
      <c r="J545" s="89">
        <f t="shared" si="41"/>
        <v>7499.02</v>
      </c>
      <c r="K545" s="89">
        <f t="shared" si="41"/>
        <v>2701</v>
      </c>
      <c r="L545" s="89">
        <f t="shared" si="41"/>
        <v>10696401.469999999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3102776.63</v>
      </c>
      <c r="G549" s="87">
        <f>L526</f>
        <v>1280791.97</v>
      </c>
      <c r="H549" s="87">
        <f>L531</f>
        <v>141685.63999999998</v>
      </c>
      <c r="I549" s="87">
        <f>L536</f>
        <v>33641.93</v>
      </c>
      <c r="J549" s="87">
        <f>L541</f>
        <v>133784.63</v>
      </c>
      <c r="K549" s="87">
        <f>SUM(F549:J549)</f>
        <v>4692680.7999999989</v>
      </c>
      <c r="L549" s="24" t="s">
        <v>288</v>
      </c>
      <c r="M549" s="8"/>
      <c r="N549" s="266"/>
    </row>
    <row r="550" spans="1:14" s="3" customFormat="1" ht="12.2" customHeight="1" x14ac:dyDescent="0.15">
      <c r="A550" s="22" t="s">
        <v>634</v>
      </c>
      <c r="B550" s="75">
        <v>21</v>
      </c>
      <c r="C550" s="75">
        <v>23</v>
      </c>
      <c r="D550" s="2" t="s">
        <v>432</v>
      </c>
      <c r="E550" s="75"/>
      <c r="F550" s="87">
        <f>L522</f>
        <v>1699582.0999999999</v>
      </c>
      <c r="G550" s="87">
        <f>L527</f>
        <v>620795.19999999995</v>
      </c>
      <c r="H550" s="87">
        <f>L532</f>
        <v>97262.560000000012</v>
      </c>
      <c r="I550" s="87">
        <f>L537</f>
        <v>24153.18</v>
      </c>
      <c r="J550" s="87">
        <f>L542</f>
        <v>86462.54</v>
      </c>
      <c r="K550" s="87">
        <f>SUM(F550:J550)</f>
        <v>2528255.58</v>
      </c>
      <c r="L550" s="24" t="s">
        <v>288</v>
      </c>
      <c r="M550" s="8"/>
      <c r="N550" s="266"/>
    </row>
    <row r="551" spans="1:14" s="3" customFormat="1" ht="12.2" customHeight="1" thickBot="1" x14ac:dyDescent="0.2">
      <c r="A551" s="22" t="s">
        <v>635</v>
      </c>
      <c r="B551" s="75">
        <v>21</v>
      </c>
      <c r="C551" s="75">
        <v>24</v>
      </c>
      <c r="D551" s="2" t="s">
        <v>432</v>
      </c>
      <c r="E551" s="75"/>
      <c r="F551" s="87">
        <f>L523</f>
        <v>2133966.4499999997</v>
      </c>
      <c r="G551" s="87">
        <f>L528</f>
        <v>1092536.2200000002</v>
      </c>
      <c r="H551" s="87">
        <f>L533</f>
        <v>86645.57</v>
      </c>
      <c r="I551" s="87">
        <f>L538</f>
        <v>28466.25</v>
      </c>
      <c r="J551" s="87">
        <f>L543</f>
        <v>133850.6</v>
      </c>
      <c r="K551" s="87">
        <f>SUM(F551:J551)</f>
        <v>3475465.09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6936325.1799999997</v>
      </c>
      <c r="G552" s="89">
        <f t="shared" si="42"/>
        <v>2994123.39</v>
      </c>
      <c r="H552" s="89">
        <f t="shared" si="42"/>
        <v>325593.77</v>
      </c>
      <c r="I552" s="89">
        <f t="shared" si="42"/>
        <v>86261.36</v>
      </c>
      <c r="J552" s="89">
        <f t="shared" si="42"/>
        <v>354097.77</v>
      </c>
      <c r="K552" s="89">
        <f t="shared" si="42"/>
        <v>10696401.469999999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v>223318.82</v>
      </c>
      <c r="G557" s="18">
        <v>33737.370000000003</v>
      </c>
      <c r="H557" s="18">
        <v>3638.65</v>
      </c>
      <c r="I557" s="18">
        <v>11329.46</v>
      </c>
      <c r="J557" s="18"/>
      <c r="K557" s="18"/>
      <c r="L557" s="88">
        <f>SUM(F557:K557)</f>
        <v>272024.3</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223318.82</v>
      </c>
      <c r="G560" s="108">
        <f t="shared" si="43"/>
        <v>33737.370000000003</v>
      </c>
      <c r="H560" s="108">
        <f t="shared" si="43"/>
        <v>3638.65</v>
      </c>
      <c r="I560" s="108">
        <f t="shared" si="43"/>
        <v>11329.46</v>
      </c>
      <c r="J560" s="108">
        <f t="shared" si="43"/>
        <v>0</v>
      </c>
      <c r="K560" s="108">
        <f t="shared" si="43"/>
        <v>0</v>
      </c>
      <c r="L560" s="89">
        <f t="shared" si="43"/>
        <v>272024.3</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37684.879999999997</v>
      </c>
      <c r="G562" s="18">
        <v>19559.8</v>
      </c>
      <c r="H562" s="18">
        <v>1532.87</v>
      </c>
      <c r="I562" s="18"/>
      <c r="J562" s="18">
        <v>755.38</v>
      </c>
      <c r="K562" s="18"/>
      <c r="L562" s="88">
        <f>SUM(F562:K562)</f>
        <v>59532.929999999993</v>
      </c>
      <c r="M562" s="8"/>
      <c r="N562" s="266"/>
    </row>
    <row r="563" spans="1:14" s="3" customFormat="1" ht="12.2" customHeight="1" x14ac:dyDescent="0.15">
      <c r="A563" s="22" t="s">
        <v>634</v>
      </c>
      <c r="B563" s="105">
        <v>22</v>
      </c>
      <c r="C563" s="115">
        <v>6</v>
      </c>
      <c r="D563" s="2" t="s">
        <v>432</v>
      </c>
      <c r="E563" s="115"/>
      <c r="F563" s="18">
        <v>27055.82</v>
      </c>
      <c r="G563" s="18">
        <v>14042.93</v>
      </c>
      <c r="H563" s="18">
        <v>1100.52</v>
      </c>
      <c r="I563" s="18"/>
      <c r="J563" s="18">
        <v>542.33000000000004</v>
      </c>
      <c r="K563" s="18"/>
      <c r="L563" s="88">
        <f>SUM(F563:K563)</f>
        <v>42741.599999999999</v>
      </c>
      <c r="M563" s="8"/>
      <c r="N563" s="266"/>
    </row>
    <row r="564" spans="1:14" s="3" customFormat="1" ht="12.2" customHeight="1" thickBot="1" x14ac:dyDescent="0.2">
      <c r="A564" s="22" t="s">
        <v>635</v>
      </c>
      <c r="B564" s="105">
        <v>22</v>
      </c>
      <c r="C564" s="118">
        <v>7</v>
      </c>
      <c r="D564" s="2" t="s">
        <v>432</v>
      </c>
      <c r="E564" s="118"/>
      <c r="F564" s="18">
        <v>31887.200000000001</v>
      </c>
      <c r="G564" s="18">
        <v>16550.599999999999</v>
      </c>
      <c r="H564" s="18">
        <v>1297.04</v>
      </c>
      <c r="I564" s="18"/>
      <c r="J564" s="18">
        <v>639.16999999999996</v>
      </c>
      <c r="K564" s="18"/>
      <c r="L564" s="88">
        <f>SUM(F564:K564)</f>
        <v>50374.01</v>
      </c>
      <c r="M564" s="8"/>
      <c r="N564" s="266"/>
    </row>
    <row r="565" spans="1:14" s="3" customFormat="1" ht="12.2" customHeight="1" thickTop="1" x14ac:dyDescent="0.15">
      <c r="A565" s="139" t="s">
        <v>65</v>
      </c>
      <c r="B565" s="107">
        <v>22</v>
      </c>
      <c r="C565" s="107">
        <v>8</v>
      </c>
      <c r="D565" s="196" t="s">
        <v>432</v>
      </c>
      <c r="E565" s="107"/>
      <c r="F565" s="89">
        <f t="shared" ref="F565:L565" si="44">SUM(F562:F564)</f>
        <v>96627.9</v>
      </c>
      <c r="G565" s="89">
        <f t="shared" si="44"/>
        <v>50153.329999999994</v>
      </c>
      <c r="H565" s="89">
        <f t="shared" si="44"/>
        <v>3930.43</v>
      </c>
      <c r="I565" s="89">
        <f t="shared" si="44"/>
        <v>0</v>
      </c>
      <c r="J565" s="89">
        <f t="shared" si="44"/>
        <v>1936.88</v>
      </c>
      <c r="K565" s="89">
        <f t="shared" si="44"/>
        <v>0</v>
      </c>
      <c r="L565" s="89">
        <f t="shared" si="44"/>
        <v>152648.54</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80904</v>
      </c>
      <c r="G567" s="18">
        <v>49228.58</v>
      </c>
      <c r="H567" s="18"/>
      <c r="I567" s="18">
        <v>275.99</v>
      </c>
      <c r="J567" s="18">
        <v>507.27</v>
      </c>
      <c r="K567" s="18">
        <v>275</v>
      </c>
      <c r="L567" s="88">
        <f>SUM(F567:K567)</f>
        <v>131190.84000000003</v>
      </c>
      <c r="M567" s="8"/>
      <c r="N567" s="266"/>
    </row>
    <row r="568" spans="1:14" s="3" customFormat="1" ht="12.2" customHeight="1" x14ac:dyDescent="0.15">
      <c r="A568" s="22" t="s">
        <v>634</v>
      </c>
      <c r="B568" s="105">
        <v>22</v>
      </c>
      <c r="C568" s="105">
        <v>10</v>
      </c>
      <c r="D568" s="2" t="s">
        <v>432</v>
      </c>
      <c r="E568" s="105"/>
      <c r="F568" s="18"/>
      <c r="G568" s="18"/>
      <c r="H568" s="18"/>
      <c r="I568" s="18"/>
      <c r="J568" s="18"/>
      <c r="K568" s="18">
        <v>280</v>
      </c>
      <c r="L568" s="88">
        <f>SUM(F568:K568)</f>
        <v>280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80904</v>
      </c>
      <c r="G570" s="193">
        <f t="shared" ref="G570:L570" si="45">SUM(G567:G569)</f>
        <v>49228.58</v>
      </c>
      <c r="H570" s="193">
        <f t="shared" si="45"/>
        <v>0</v>
      </c>
      <c r="I570" s="193">
        <f t="shared" si="45"/>
        <v>275.99</v>
      </c>
      <c r="J570" s="193">
        <f t="shared" si="45"/>
        <v>507.27</v>
      </c>
      <c r="K570" s="193">
        <f t="shared" si="45"/>
        <v>555</v>
      </c>
      <c r="L570" s="193">
        <f t="shared" si="45"/>
        <v>131470.84000000003</v>
      </c>
      <c r="M570" s="8"/>
      <c r="N570" s="266"/>
    </row>
    <row r="571" spans="1:14" s="3" customFormat="1" ht="12.2" customHeight="1" thickTop="1" x14ac:dyDescent="0.15">
      <c r="A571" s="98" t="s">
        <v>88</v>
      </c>
      <c r="B571" s="107">
        <v>22</v>
      </c>
      <c r="C571" s="107">
        <v>13</v>
      </c>
      <c r="D571" s="158" t="s">
        <v>432</v>
      </c>
      <c r="E571" s="107"/>
      <c r="F571" s="89">
        <f>F560+F565+F570</f>
        <v>400850.72</v>
      </c>
      <c r="G571" s="89">
        <f t="shared" ref="G571:L571" si="46">G560+G565+G570</f>
        <v>133119.28</v>
      </c>
      <c r="H571" s="89">
        <f t="shared" si="46"/>
        <v>7569.08</v>
      </c>
      <c r="I571" s="89">
        <f t="shared" si="46"/>
        <v>11605.449999999999</v>
      </c>
      <c r="J571" s="89">
        <f t="shared" si="46"/>
        <v>2444.15</v>
      </c>
      <c r="K571" s="89">
        <f t="shared" si="46"/>
        <v>555</v>
      </c>
      <c r="L571" s="89">
        <f t="shared" si="46"/>
        <v>556143.67999999993</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148440.78</v>
      </c>
      <c r="G582" s="18">
        <v>109062.15</v>
      </c>
      <c r="H582" s="18">
        <v>546325.18999999994</v>
      </c>
      <c r="I582" s="87">
        <f t="shared" si="47"/>
        <v>803828.11999999988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5434.72</v>
      </c>
      <c r="I584" s="87">
        <f t="shared" si="47"/>
        <v>5434.72</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428579.46</v>
      </c>
      <c r="I591" s="18">
        <v>252555.75</v>
      </c>
      <c r="J591" s="18">
        <v>84185.25</v>
      </c>
      <c r="K591" s="104">
        <f t="shared" ref="K591:K597" si="48">SUM(H591:J591)</f>
        <v>765320.46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133784.63</v>
      </c>
      <c r="I592" s="18">
        <v>86462.54</v>
      </c>
      <c r="J592" s="18">
        <v>133850.6</v>
      </c>
      <c r="K592" s="104">
        <f t="shared" si="48"/>
        <v>354097.77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3702</v>
      </c>
      <c r="K593" s="104">
        <f t="shared" si="48"/>
        <v>3702</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27440.38</v>
      </c>
      <c r="J594" s="18">
        <v>94660.7</v>
      </c>
      <c r="K594" s="104">
        <f t="shared" si="48"/>
        <v>122101.08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562364.09000000008</v>
      </c>
      <c r="I598" s="108">
        <f>SUM(I591:I597)</f>
        <v>366458.67</v>
      </c>
      <c r="J598" s="108">
        <f>SUM(J591:J597)</f>
        <v>316398.55</v>
      </c>
      <c r="K598" s="108">
        <f>SUM(K591:K597)</f>
        <v>1245221.31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148662.37</v>
      </c>
      <c r="I604" s="18">
        <v>84240.92</v>
      </c>
      <c r="J604" s="18">
        <v>259088.76</v>
      </c>
      <c r="K604" s="104">
        <f>SUM(H604:J604)</f>
        <v>491992.05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148662.37</v>
      </c>
      <c r="I605" s="108">
        <f>SUM(I602:I604)</f>
        <v>84240.92</v>
      </c>
      <c r="J605" s="108">
        <f>SUM(J602:J604)</f>
        <v>259088.76</v>
      </c>
      <c r="K605" s="108">
        <f>SUM(K602:K604)</f>
        <v>491992.05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34918.009999999995</v>
      </c>
      <c r="G611" s="18">
        <v>2671.23</v>
      </c>
      <c r="H611" s="18"/>
      <c r="I611" s="18">
        <v>1369.1999999999998</v>
      </c>
      <c r="J611" s="18"/>
      <c r="K611" s="18"/>
      <c r="L611" s="88">
        <f>SUM(F611:K611)</f>
        <v>38958.439999999995</v>
      </c>
      <c r="M611" s="8"/>
      <c r="N611" s="266"/>
    </row>
    <row r="612" spans="1:14" s="3" customFormat="1" ht="12.2" customHeight="1" x14ac:dyDescent="0.15">
      <c r="A612" s="22" t="s">
        <v>634</v>
      </c>
      <c r="B612" s="75">
        <v>23</v>
      </c>
      <c r="C612" s="75">
        <v>14</v>
      </c>
      <c r="D612" s="2" t="s">
        <v>432</v>
      </c>
      <c r="E612" s="75"/>
      <c r="F612" s="18">
        <v>17679.07</v>
      </c>
      <c r="G612" s="18">
        <v>1352.45</v>
      </c>
      <c r="H612" s="18"/>
      <c r="I612" s="18"/>
      <c r="J612" s="18"/>
      <c r="K612" s="18"/>
      <c r="L612" s="88">
        <f>SUM(F612:K612)</f>
        <v>19031.52</v>
      </c>
      <c r="M612" s="8"/>
      <c r="N612" s="266"/>
    </row>
    <row r="613" spans="1:14" s="3" customFormat="1" ht="12.2" customHeight="1" thickBot="1" x14ac:dyDescent="0.2">
      <c r="A613" s="22" t="s">
        <v>645</v>
      </c>
      <c r="B613" s="75">
        <v>23</v>
      </c>
      <c r="C613" s="75">
        <v>15</v>
      </c>
      <c r="D613" s="2" t="s">
        <v>432</v>
      </c>
      <c r="E613" s="75"/>
      <c r="F613" s="18">
        <v>13232.28</v>
      </c>
      <c r="G613" s="18">
        <v>1012.23</v>
      </c>
      <c r="H613" s="18"/>
      <c r="I613" s="18"/>
      <c r="J613" s="18"/>
      <c r="K613" s="18"/>
      <c r="L613" s="88">
        <f>SUM(F613:K613)</f>
        <v>14244.51</v>
      </c>
      <c r="M613" s="8"/>
      <c r="N613" s="266"/>
    </row>
    <row r="614" spans="1:14" s="3" customFormat="1" ht="12.2" customHeight="1" thickTop="1" x14ac:dyDescent="0.15">
      <c r="A614" s="98" t="s">
        <v>340</v>
      </c>
      <c r="B614" s="107">
        <v>23</v>
      </c>
      <c r="C614" s="107">
        <v>16</v>
      </c>
      <c r="D614" s="39" t="s">
        <v>432</v>
      </c>
      <c r="E614" s="107"/>
      <c r="F614" s="108">
        <f t="shared" ref="F614:L614" si="49">SUM(F611:F613)</f>
        <v>65829.36</v>
      </c>
      <c r="G614" s="108">
        <f t="shared" si="49"/>
        <v>5035.91</v>
      </c>
      <c r="H614" s="108">
        <f t="shared" si="49"/>
        <v>0</v>
      </c>
      <c r="I614" s="108">
        <f t="shared" si="49"/>
        <v>1369.1999999999998</v>
      </c>
      <c r="J614" s="108">
        <f t="shared" si="49"/>
        <v>0</v>
      </c>
      <c r="K614" s="108">
        <f t="shared" si="49"/>
        <v>0</v>
      </c>
      <c r="L614" s="89">
        <f t="shared" si="49"/>
        <v>72234.469999999987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1534197.8800000001</v>
      </c>
      <c r="H617" s="109">
        <f>SUM(F52)</f>
        <v>1534197.88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122964.59</v>
      </c>
      <c r="H618" s="109">
        <f>SUM(G52)</f>
        <v>122964.59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234034.25</v>
      </c>
      <c r="H619" s="109">
        <f>SUM(H52)</f>
        <v>234034.25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248057.44</v>
      </c>
      <c r="H620" s="109">
        <f>SUM(I52)</f>
        <v>248057.44</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4769668.3900000006</v>
      </c>
      <c r="H621" s="109">
        <f>SUM(J52)</f>
        <v>4769668.3900000006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832590.31</v>
      </c>
      <c r="H622" s="109">
        <f>F476</f>
        <v>832590.31000000238</v>
      </c>
      <c r="I622" s="121" t="s">
        <v>101</v>
      </c>
      <c r="J622" s="109">
        <f t="shared" ref="J622:J655" si="50">G622-H622</f>
        <v>-2.3283064365386963E-9</v>
      </c>
      <c r="K622" s="109"/>
      <c r="L622" s="109"/>
      <c r="M622" s="8"/>
    </row>
    <row r="623" spans="1:14" s="3" customFormat="1" ht="12.2" customHeight="1" x14ac:dyDescent="0.15">
      <c r="A623" s="97"/>
      <c r="B623" s="105"/>
      <c r="C623" s="119"/>
      <c r="D623" s="119"/>
      <c r="E623" s="119"/>
      <c r="F623" s="119" t="s">
        <v>866</v>
      </c>
      <c r="G623" s="109">
        <f>G51</f>
        <v>100203.64</v>
      </c>
      <c r="H623" s="109">
        <f>G476</f>
        <v>100203.64000000001</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57790.189999999995</v>
      </c>
      <c r="H624" s="109">
        <f>H476</f>
        <v>57790.190000000177</v>
      </c>
      <c r="I624" s="121" t="s">
        <v>103</v>
      </c>
      <c r="J624" s="109">
        <f t="shared" si="50"/>
        <v>-1.8189894035458565E-10</v>
      </c>
      <c r="K624" s="109"/>
      <c r="L624" s="109"/>
      <c r="M624" s="8"/>
    </row>
    <row r="625" spans="1:13" s="3" customFormat="1" ht="12.2" customHeight="1" x14ac:dyDescent="0.15">
      <c r="A625" s="97"/>
      <c r="B625" s="105"/>
      <c r="C625" s="105"/>
      <c r="D625" s="105"/>
      <c r="E625" s="105"/>
      <c r="F625" s="120" t="s">
        <v>868</v>
      </c>
      <c r="G625" s="109">
        <f>I51</f>
        <v>238337.44</v>
      </c>
      <c r="H625" s="109">
        <f>I476</f>
        <v>238337.43999999971</v>
      </c>
      <c r="I625" s="121" t="s">
        <v>104</v>
      </c>
      <c r="J625" s="109">
        <f t="shared" si="50"/>
        <v>2.9103830456733704E-10</v>
      </c>
      <c r="K625" s="109"/>
      <c r="L625" s="109"/>
      <c r="M625" s="8"/>
    </row>
    <row r="626" spans="1:13" s="3" customFormat="1" ht="12.2" customHeight="1" x14ac:dyDescent="0.15">
      <c r="A626" s="22"/>
      <c r="B626" s="105"/>
      <c r="C626" s="105"/>
      <c r="D626" s="105"/>
      <c r="E626" s="105"/>
      <c r="F626" s="120" t="s">
        <v>869</v>
      </c>
      <c r="G626" s="109">
        <f>J51</f>
        <v>4769668.3900000006</v>
      </c>
      <c r="H626" s="109">
        <f>J476</f>
        <v>4769668.3900000006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39450474.399999999</v>
      </c>
      <c r="H627" s="104">
        <f>SUM(F468)</f>
        <v>39450474.399999999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672871.14</v>
      </c>
      <c r="H628" s="104">
        <f>SUM(G468)</f>
        <v>672871.14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1241592.43</v>
      </c>
      <c r="H629" s="104">
        <f>SUM(H468)</f>
        <v>1241592.43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7807.98</v>
      </c>
      <c r="H630" s="104">
        <f>SUM(I468)</f>
        <v>7807.98</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245052.59000000003</v>
      </c>
      <c r="H631" s="104">
        <f>SUM(J468)</f>
        <v>245052.59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39617904.329999991</v>
      </c>
      <c r="H632" s="104">
        <f>SUM(F472)</f>
        <v>39617904.329999998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1250620.8399999999</v>
      </c>
      <c r="H633" s="104">
        <f>SUM(H472)</f>
        <v>1250620.8399999999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272766.83</v>
      </c>
      <c r="H634" s="104">
        <f>I369</f>
        <v>272766.83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615522.85000000009</v>
      </c>
      <c r="H635" s="104">
        <f>SUM(G472)</f>
        <v>615522.85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2050793.99</v>
      </c>
      <c r="H636" s="104">
        <f>SUM(I472)</f>
        <v>2050793.99</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245052.59</v>
      </c>
      <c r="H637" s="164">
        <f>SUM(J468)</f>
        <v>245052.59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38384.54</v>
      </c>
      <c r="H638" s="164">
        <f>SUM(J472)</f>
        <v>38384.54</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169393.41</v>
      </c>
      <c r="H640" s="104">
        <f>SUM(G461)</f>
        <v>169393.41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4600274.9800000004</v>
      </c>
      <c r="H641" s="104">
        <f>SUM(H461)</f>
        <v>4600274.9800000004</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4769668.3900000006</v>
      </c>
      <c r="H642" s="104">
        <f>SUM(I461)</f>
        <v>4769668.3900000006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230808.59000000003</v>
      </c>
      <c r="H644" s="104">
        <f>H408</f>
        <v>230808.59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245052.59000000003</v>
      </c>
      <c r="H646" s="104">
        <f>L408</f>
        <v>245052.59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1245221.31</v>
      </c>
      <c r="H647" s="104">
        <f>L208+L226+L244</f>
        <v>1245221.31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491992.05</v>
      </c>
      <c r="H648" s="104">
        <f>(J257+J338)-(J255+J336)</f>
        <v>491992.05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562364.09000000008</v>
      </c>
      <c r="H649" s="104">
        <f>H598</f>
        <v>562364.09000000008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366458.67</v>
      </c>
      <c r="H650" s="104">
        <f>I598</f>
        <v>366458.67</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316398.55</v>
      </c>
      <c r="H651" s="104">
        <f>J598</f>
        <v>316398.55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4996.01</v>
      </c>
      <c r="H652" s="104">
        <f>K263+K345</f>
        <v>4996.01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15412782.159999998</v>
      </c>
      <c r="G660" s="19">
        <f>(L229+L309+L359)</f>
        <v>9622142.8999999985</v>
      </c>
      <c r="H660" s="19">
        <f>(L247+L328+L360)</f>
        <v>14941013.949999999</v>
      </c>
      <c r="I660" s="19">
        <f>SUM(F660:H660)</f>
        <v>39975939.00999999</v>
      </c>
      <c r="J660" s="13"/>
      <c r="K660" s="13"/>
      <c r="L660" s="13"/>
      <c r="M660" s="9"/>
    </row>
    <row r="661" spans="1:13" s="3" customFormat="1" ht="12.2" customHeight="1" x14ac:dyDescent="0.2">
      <c r="A661" s="1" t="s">
        <v>127</v>
      </c>
      <c r="F661" s="19">
        <f>(L358/IF(SUM(L358:L360)=0,1,SUM(L358:L360))*(SUM(G97:G110)))</f>
        <v>155534.30423928017</v>
      </c>
      <c r="G661" s="19">
        <f>(L359/IF(SUM(L358:L360)=0,1,SUM(L358:L360))*(SUM(G97:G110)))</f>
        <v>96409.747072475031</v>
      </c>
      <c r="H661" s="19">
        <f>(L360/IF(SUM(L358:L360)=0,1,SUM(L358:L360))*(SUM(G97:G110)))</f>
        <v>189776.05868824481</v>
      </c>
      <c r="I661" s="19">
        <f>SUM(F661:H661)</f>
        <v>441720.11</v>
      </c>
      <c r="J661"/>
      <c r="K661" s="13"/>
      <c r="L661" s="13"/>
      <c r="M661" s="9"/>
    </row>
    <row r="662" spans="1:13" s="3" customFormat="1" ht="12.2" customHeight="1" x14ac:dyDescent="0.2">
      <c r="A662" s="1" t="s">
        <v>128</v>
      </c>
      <c r="F662" s="19">
        <f>(L208+L287)-(J208+J287)</f>
        <v>570021.44000000006</v>
      </c>
      <c r="G662" s="19">
        <f>(L226+L306)-(J226+J306)</f>
        <v>366458.67</v>
      </c>
      <c r="H662" s="19">
        <f>(L244+L325)-(J244+J325)</f>
        <v>329164.42</v>
      </c>
      <c r="I662" s="19">
        <f>SUM(F662:H662)</f>
        <v>1265644.53</v>
      </c>
      <c r="J662"/>
      <c r="K662" s="13"/>
      <c r="L662" s="13"/>
      <c r="M662" s="8"/>
    </row>
    <row r="663" spans="1:13" s="3" customFormat="1" ht="12.2" customHeight="1" x14ac:dyDescent="0.15">
      <c r="A663" s="198" t="s">
        <v>129</v>
      </c>
      <c r="B663" s="169"/>
      <c r="C663" s="169"/>
      <c r="D663" s="169"/>
      <c r="E663" s="169"/>
      <c r="F663" s="199">
        <f>SUM(F575:F587)+SUM(H602:H604)+SUM(L611)</f>
        <v>336061.59</v>
      </c>
      <c r="G663" s="199">
        <f>SUM(G575:G587)+SUM(I602:I604)+L612</f>
        <v>212334.59</v>
      </c>
      <c r="H663" s="199">
        <f>SUM(H575:H587)+SUM(J602:J604)+L613</f>
        <v>825093.17999999993</v>
      </c>
      <c r="I663" s="19">
        <f>SUM(F663:H663)</f>
        <v>1373489.3599999999</v>
      </c>
      <c r="J663" s="13"/>
      <c r="K663" s="13"/>
      <c r="L663" s="13"/>
      <c r="M663" s="9"/>
    </row>
    <row r="664" spans="1:13" s="3" customFormat="1" ht="12.2" customHeight="1" x14ac:dyDescent="0.15">
      <c r="A664" s="1" t="s">
        <v>130</v>
      </c>
      <c r="F664" s="19">
        <f>F660-SUM(F661:F663)</f>
        <v>14351164.825760718</v>
      </c>
      <c r="G664" s="19">
        <f>G660-SUM(G661:G663)</f>
        <v>8946939.8929275237</v>
      </c>
      <c r="H664" s="19">
        <f>H660-SUM(H661:H663)</f>
        <v>13596980.291311754</v>
      </c>
      <c r="I664" s="19">
        <f>I660-SUM(I661:I663)</f>
        <v>36895085.00999999</v>
      </c>
      <c r="J664" s="13"/>
      <c r="K664" s="13"/>
      <c r="L664" s="13"/>
      <c r="M664" s="9"/>
    </row>
    <row r="665" spans="1:13" s="3" customFormat="1" ht="12.2" customHeight="1" x14ac:dyDescent="0.2">
      <c r="A665" s="1" t="s">
        <v>131</v>
      </c>
      <c r="F665" s="246">
        <v>917.37</v>
      </c>
      <c r="G665" s="247">
        <v>561.41</v>
      </c>
      <c r="H665" s="247">
        <v>812.43</v>
      </c>
      <c r="I665" s="19">
        <f>SUM(F665:H665)</f>
        <v>2291.21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15643.81</v>
      </c>
      <c r="G667" s="19">
        <f>ROUND(G664/G665,2)</f>
        <v>15936.55</v>
      </c>
      <c r="H667" s="19">
        <f>ROUND(H664/H665,2)</f>
        <v>16736.189999999999</v>
      </c>
      <c r="I667" s="19">
        <f>ROUND(I664/I665,2)</f>
        <v>16102.88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v>
      </c>
      <c r="I670" s="19">
        <f>SUM(F670:H670)</f>
        <v>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15643.81</v>
      </c>
      <c r="G672" s="19">
        <f>ROUND((G664+G669)/(G665+G670),2)</f>
        <v>15936.55</v>
      </c>
      <c r="H672" s="19">
        <f>ROUND((H664+H669)/(H665+H670),2)</f>
        <v>16674.61</v>
      </c>
      <c r="I672" s="19">
        <f>ROUND((I664+I669)/(I665+I670),2)</f>
        <v>16081.83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Milford SD</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9761410.2700000014</v>
      </c>
      <c r="C9" s="229">
        <f>'DOE25'!G197+'DOE25'!G215+'DOE25'!G233+'DOE25'!G276+'DOE25'!G295+'DOE25'!G314</f>
        <v>5823907.3299999991</v>
      </c>
    </row>
    <row r="10" spans="1:3" x14ac:dyDescent="0.2">
      <c r="A10" t="s">
        <v>775</v>
      </c>
      <c r="B10" s="240">
        <v>9167661.7100000009</v>
      </c>
      <c r="C10" s="240">
        <v>5469661.7300000004</v>
      </c>
    </row>
    <row r="11" spans="1:3" x14ac:dyDescent="0.2">
      <c r="A11" t="s">
        <v>776</v>
      </c>
      <c r="B11" s="240">
        <v>405902.56</v>
      </c>
      <c r="C11" s="240">
        <v>242171.86</v>
      </c>
    </row>
    <row r="12" spans="1:3" x14ac:dyDescent="0.2">
      <c r="A12" t="s">
        <v>777</v>
      </c>
      <c r="B12" s="240">
        <v>187846</v>
      </c>
      <c r="C12" s="240">
        <v>112073.74</v>
      </c>
    </row>
    <row r="13" spans="1:3" x14ac:dyDescent="0.2">
      <c r="A13" t="str">
        <f>IF(B9=B13,IF(C9=C13,"Check Total OK","Check Total Error"),"Check Total Error")</f>
        <v>Check Total OK</v>
      </c>
      <c r="B13" s="231">
        <f>SUM(B10:B12)</f>
        <v>9761410.2700000014</v>
      </c>
      <c r="C13" s="231">
        <f>SUM(C10:C12)</f>
        <v>5823907.330000001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4005589.2800000003</v>
      </c>
      <c r="C18" s="229">
        <f>'DOE25'!G198+'DOE25'!G216+'DOE25'!G234+'DOE25'!G277+'DOE25'!G296+'DOE25'!G315</f>
        <v>2015290.41</v>
      </c>
    </row>
    <row r="19" spans="1:3" x14ac:dyDescent="0.2">
      <c r="A19" t="s">
        <v>775</v>
      </c>
      <c r="B19" s="240">
        <v>2129326.7599999998</v>
      </c>
      <c r="C19" s="240">
        <v>1071305.99</v>
      </c>
    </row>
    <row r="20" spans="1:3" x14ac:dyDescent="0.2">
      <c r="A20" t="s">
        <v>776</v>
      </c>
      <c r="B20" s="240">
        <v>1790481.81</v>
      </c>
      <c r="C20" s="240">
        <v>900826.46</v>
      </c>
    </row>
    <row r="21" spans="1:3" x14ac:dyDescent="0.2">
      <c r="A21" t="s">
        <v>777</v>
      </c>
      <c r="B21" s="240">
        <v>85780.71</v>
      </c>
      <c r="C21" s="240">
        <v>43157.96</v>
      </c>
    </row>
    <row r="22" spans="1:3" x14ac:dyDescent="0.2">
      <c r="A22" t="str">
        <f>IF(B18=B22,IF(C18=C22,"Check Total OK","Check Total Error"),"Check Total Error")</f>
        <v>Check Total OK</v>
      </c>
      <c r="B22" s="231">
        <f>SUM(B19:B21)</f>
        <v>4005589.28</v>
      </c>
      <c r="C22" s="231">
        <f>SUM(C19:C21)</f>
        <v>2015290.41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715343.99</v>
      </c>
      <c r="C27" s="234">
        <f>'DOE25'!G199+'DOE25'!G217+'DOE25'!G235+'DOE25'!G278+'DOE25'!G297+'DOE25'!G316</f>
        <v>411878.81</v>
      </c>
    </row>
    <row r="28" spans="1:3" x14ac:dyDescent="0.2">
      <c r="A28" t="s">
        <v>775</v>
      </c>
      <c r="B28" s="240">
        <v>715343.99</v>
      </c>
      <c r="C28" s="240">
        <v>411878.81</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715343.99</v>
      </c>
      <c r="C31" s="231">
        <f>SUM(C28:C30)</f>
        <v>411878.81</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226696.90000000002</v>
      </c>
      <c r="C36" s="235">
        <f>'DOE25'!G200+'DOE25'!G218+'DOE25'!G236+'DOE25'!G279+'DOE25'!G298+'DOE25'!G317</f>
        <v>24647.739999999998</v>
      </c>
    </row>
    <row r="37" spans="1:3" x14ac:dyDescent="0.2">
      <c r="A37" t="s">
        <v>775</v>
      </c>
      <c r="B37" s="240">
        <v>223368.9</v>
      </c>
      <c r="C37" s="240">
        <v>24285.9</v>
      </c>
    </row>
    <row r="38" spans="1:3" x14ac:dyDescent="0.2">
      <c r="A38" t="s">
        <v>776</v>
      </c>
      <c r="B38" s="240">
        <v>3328</v>
      </c>
      <c r="C38" s="240">
        <v>361.84</v>
      </c>
    </row>
    <row r="39" spans="1:3" x14ac:dyDescent="0.2">
      <c r="A39" t="s">
        <v>777</v>
      </c>
      <c r="B39" s="240"/>
      <c r="C39" s="240"/>
    </row>
    <row r="40" spans="1:3" x14ac:dyDescent="0.2">
      <c r="A40" t="str">
        <f>IF(B36=B40,IF(C36=C40,"Check Total OK","Check Total Error"),"Check Total Error")</f>
        <v>Check Total OK</v>
      </c>
      <c r="B40" s="231">
        <f>SUM(B37:B39)</f>
        <v>226696.9</v>
      </c>
      <c r="C40" s="231">
        <f>SUM(C37:C39)</f>
        <v>24647.74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4" sqref="F14: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Milford SD</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24090993.719999999</v>
      </c>
      <c r="D5" s="20">
        <f>SUM('DOE25'!L197:L200)+SUM('DOE25'!L215:L218)+SUM('DOE25'!L233:L236)-F5-G5-H5</f>
        <v>23871800.390000001</v>
      </c>
      <c r="E5" s="243"/>
      <c r="F5" s="244"/>
      <c r="G5" s="53">
        <f>SUM('DOE25'!J197:J200)+SUM('DOE25'!J215:J218)+SUM('DOE25'!J233:J236)</f>
        <v>198281.88</v>
      </c>
      <c r="H5" s="53">
        <f>SUM('DOE25'!K197:K200)+SUM('DOE25'!K215:K218)+SUM('DOE25'!K233:K236)</f>
        <v>20911.45</v>
      </c>
      <c r="I5" s="256"/>
    </row>
    <row r="6" spans="1:9" x14ac:dyDescent="0.2">
      <c r="A6" s="32">
        <v>2100</v>
      </c>
      <c r="B6" t="s">
        <v>796</v>
      </c>
      <c r="C6" s="276">
        <f t="shared" si="0"/>
        <v>3301310.18</v>
      </c>
      <c r="D6" s="20">
        <f>'DOE25'!L202+'DOE25'!L220+'DOE25'!L238-F6-G6-H6</f>
        <v>3297775.69</v>
      </c>
      <c r="E6" s="243"/>
      <c r="F6" s="244"/>
      <c r="G6" s="53">
        <f>'DOE25'!J202+'DOE25'!J220+'DOE25'!J238</f>
        <v>2732.4900000000002</v>
      </c>
      <c r="H6" s="53">
        <f>'DOE25'!K202+'DOE25'!K220+'DOE25'!K238</f>
        <v>802</v>
      </c>
      <c r="I6" s="256"/>
    </row>
    <row r="7" spans="1:9" x14ac:dyDescent="0.2">
      <c r="A7" s="32">
        <v>2200</v>
      </c>
      <c r="B7" t="s">
        <v>821</v>
      </c>
      <c r="C7" s="276">
        <f t="shared" si="0"/>
        <v>813890.46</v>
      </c>
      <c r="D7" s="20">
        <f>'DOE25'!L203+'DOE25'!L221+'DOE25'!L239-F7-G7-H7</f>
        <v>808348.41999999993</v>
      </c>
      <c r="E7" s="243"/>
      <c r="F7" s="244"/>
      <c r="G7" s="53">
        <f>'DOE25'!J203+'DOE25'!J221+'DOE25'!J239</f>
        <v>5542.04</v>
      </c>
      <c r="H7" s="53">
        <f>'DOE25'!K203+'DOE25'!K221+'DOE25'!K239</f>
        <v>0</v>
      </c>
      <c r="I7" s="256"/>
    </row>
    <row r="8" spans="1:9" x14ac:dyDescent="0.2">
      <c r="A8" s="32">
        <v>2300</v>
      </c>
      <c r="B8" t="s">
        <v>797</v>
      </c>
      <c r="C8" s="276">
        <f t="shared" si="0"/>
        <v>1930546.9799999997</v>
      </c>
      <c r="D8" s="243"/>
      <c r="E8" s="20">
        <f>'DOE25'!L204+'DOE25'!L222+'DOE25'!L240-F8-G8-H8-D9-D11</f>
        <v>1910232.8299999998</v>
      </c>
      <c r="F8" s="244"/>
      <c r="G8" s="53">
        <f>'DOE25'!J204+'DOE25'!J222+'DOE25'!J240</f>
        <v>824</v>
      </c>
      <c r="H8" s="53">
        <f>'DOE25'!K204+'DOE25'!K222+'DOE25'!K240</f>
        <v>19490.150000000001</v>
      </c>
      <c r="I8" s="256"/>
    </row>
    <row r="9" spans="1:9" ht="14.25" x14ac:dyDescent="0.2">
      <c r="A9" s="32">
        <v>2310</v>
      </c>
      <c r="B9" s="185" t="s">
        <v>890</v>
      </c>
      <c r="C9" s="276">
        <f t="shared" si="0"/>
        <v>199363.37</v>
      </c>
      <c r="D9" s="244">
        <v>199363.37</v>
      </c>
      <c r="E9" s="243"/>
      <c r="F9" s="253"/>
      <c r="G9" s="253"/>
      <c r="H9" s="253"/>
      <c r="I9" s="256"/>
    </row>
    <row r="10" spans="1:9" ht="14.25" x14ac:dyDescent="0.2">
      <c r="A10" s="32">
        <v>2317</v>
      </c>
      <c r="B10" s="185" t="s">
        <v>891</v>
      </c>
      <c r="C10" s="276">
        <f t="shared" si="0"/>
        <v>13500</v>
      </c>
      <c r="D10" s="243"/>
      <c r="E10" s="244">
        <v>13500</v>
      </c>
      <c r="F10" s="253"/>
      <c r="G10" s="253"/>
      <c r="H10" s="253"/>
      <c r="I10" s="256"/>
    </row>
    <row r="11" spans="1:9" ht="14.25" x14ac:dyDescent="0.2">
      <c r="A11" s="32">
        <v>2321</v>
      </c>
      <c r="B11" s="185" t="s">
        <v>892</v>
      </c>
      <c r="C11" s="276">
        <f t="shared" si="0"/>
        <v>265272.03000000003</v>
      </c>
      <c r="D11" s="244">
        <v>265272.03000000003</v>
      </c>
      <c r="E11" s="243"/>
      <c r="F11" s="253"/>
      <c r="G11" s="253"/>
      <c r="H11" s="253"/>
      <c r="I11" s="256"/>
    </row>
    <row r="12" spans="1:9" x14ac:dyDescent="0.2">
      <c r="A12" s="32">
        <v>2400</v>
      </c>
      <c r="B12" t="s">
        <v>711</v>
      </c>
      <c r="C12" s="276">
        <f t="shared" si="0"/>
        <v>2075501.3399999999</v>
      </c>
      <c r="D12" s="20">
        <f>'DOE25'!L205+'DOE25'!L223+'DOE25'!L241-F12-G12-H12</f>
        <v>2045736.38</v>
      </c>
      <c r="E12" s="243"/>
      <c r="F12" s="244"/>
      <c r="G12" s="53">
        <f>'DOE25'!J205+'DOE25'!J223+'DOE25'!J241</f>
        <v>274.63</v>
      </c>
      <c r="H12" s="53">
        <f>'DOE25'!K205+'DOE25'!K223+'DOE25'!K241</f>
        <v>29490.33</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2987931.79</v>
      </c>
      <c r="D14" s="20">
        <f>'DOE25'!L207+'DOE25'!L225+'DOE25'!L243-F14-G14-H14</f>
        <v>2807613.74</v>
      </c>
      <c r="E14" s="243"/>
      <c r="F14" s="244">
        <v>149466</v>
      </c>
      <c r="G14" s="53">
        <f>'DOE25'!J207+'DOE25'!J225+'DOE25'!J243</f>
        <v>30852.05</v>
      </c>
      <c r="H14" s="53">
        <f>'DOE25'!K207+'DOE25'!K225+'DOE25'!K243</f>
        <v>0</v>
      </c>
      <c r="I14" s="256"/>
    </row>
    <row r="15" spans="1:9" x14ac:dyDescent="0.2">
      <c r="A15" s="32">
        <v>2700</v>
      </c>
      <c r="B15" t="s">
        <v>799</v>
      </c>
      <c r="C15" s="276">
        <f t="shared" si="0"/>
        <v>1245221.31</v>
      </c>
      <c r="D15" s="20">
        <f>'DOE25'!L208+'DOE25'!L226+'DOE25'!L244-F15-G15-H15</f>
        <v>79110.310000000056</v>
      </c>
      <c r="E15" s="243"/>
      <c r="F15" s="244">
        <v>1166111</v>
      </c>
      <c r="G15" s="53">
        <f>'DOE25'!J208+'DOE25'!J226+'DOE25'!J244</f>
        <v>0</v>
      </c>
      <c r="H15" s="53">
        <f>'DOE25'!K208+'DOE25'!K226+'DOE25'!K244</f>
        <v>0</v>
      </c>
      <c r="I15" s="256"/>
    </row>
    <row r="16" spans="1:9" x14ac:dyDescent="0.2">
      <c r="A16" s="32">
        <v>2800</v>
      </c>
      <c r="B16" t="s">
        <v>800</v>
      </c>
      <c r="C16" s="276">
        <f t="shared" si="0"/>
        <v>1199764.1400000001</v>
      </c>
      <c r="D16" s="243"/>
      <c r="E16" s="20">
        <f>'DOE25'!L209+'DOE25'!L227+'DOE25'!L245-F16-G16-H16</f>
        <v>1046194.4200000002</v>
      </c>
      <c r="F16" s="244">
        <v>1878</v>
      </c>
      <c r="G16" s="53">
        <f>'DOE25'!J209+'DOE25'!J227+'DOE25'!J245</f>
        <v>151691.72</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1503113</v>
      </c>
      <c r="D25" s="243"/>
      <c r="E25" s="243"/>
      <c r="F25" s="255"/>
      <c r="G25" s="253"/>
      <c r="H25" s="253"/>
      <c r="I25" s="254">
        <f>'DOE25'!L260+'DOE25'!L261+'DOE25'!L341+'DOE25'!L342</f>
        <v>1503113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375250.59000000008</v>
      </c>
      <c r="D29" s="284">
        <f>'DOE25'!L358+'DOE25'!L359+'DOE25'!L360-'DOE25'!I367-F29-G29-H29</f>
        <v>365156.77000000014</v>
      </c>
      <c r="E29" s="243"/>
      <c r="F29" s="244"/>
      <c r="G29" s="53">
        <f>'DOE25'!J358+'DOE25'!J359+'DOE25'!J360</f>
        <v>940.1</v>
      </c>
      <c r="H29" s="53">
        <f>'DOE25'!K358+'DOE25'!K359+'DOE25'!K360</f>
        <v>9153.7200000000012</v>
      </c>
      <c r="I29" s="256"/>
    </row>
    <row r="30" spans="1:9" x14ac:dyDescent="0.2">
      <c r="A30" s="32"/>
      <c r="C30" s="277"/>
      <c r="D30" s="20"/>
      <c r="E30" s="281"/>
      <c r="F30" s="271"/>
      <c r="G30" s="53"/>
      <c r="H30" s="53"/>
      <c r="I30" s="256"/>
    </row>
    <row r="31" spans="1:9" x14ac:dyDescent="0.2">
      <c r="A31" s="32" t="s">
        <v>818</v>
      </c>
      <c r="B31" t="s">
        <v>817</v>
      </c>
      <c r="C31" s="276">
        <f>SUM(D31:I31)</f>
        <v>1250620.8399999999</v>
      </c>
      <c r="D31" s="20">
        <f>'DOE25'!L290+'DOE25'!L309+'DOE25'!L328+'DOE25'!L333+'DOE25'!L334+'DOE25'!L335-F31-G31-H31</f>
        <v>1142665.3699999999</v>
      </c>
      <c r="E31" s="243"/>
      <c r="F31" s="244"/>
      <c r="G31" s="53">
        <f>'DOE25'!J290+'DOE25'!J309+'DOE25'!J328+'DOE25'!J333+'DOE25'!J334+'DOE25'!J335</f>
        <v>101793.23999999999</v>
      </c>
      <c r="H31" s="53">
        <f>'DOE25'!K290+'DOE25'!K309+'DOE25'!K328+'DOE25'!K333+'DOE25'!K334+'DOE25'!K335</f>
        <v>6162.23</v>
      </c>
      <c r="I31" s="256"/>
    </row>
    <row r="32" spans="1:9" ht="12" thickBot="1" x14ac:dyDescent="0.25">
      <c r="C32" s="277"/>
      <c r="G32" s="251"/>
      <c r="H32" s="251"/>
      <c r="I32" s="258"/>
    </row>
    <row r="33" spans="1:9" ht="12" thickTop="1" x14ac:dyDescent="0.2">
      <c r="B33" t="s">
        <v>809</v>
      </c>
      <c r="D33" s="245">
        <f t="shared" ref="D33:I33" si="1">SUM(D5:D31)</f>
        <v>34882842.469999999</v>
      </c>
      <c r="E33" s="245">
        <f t="shared" si="1"/>
        <v>2969927.25</v>
      </c>
      <c r="F33" s="245">
        <f t="shared" si="1"/>
        <v>1317455</v>
      </c>
      <c r="G33" s="245">
        <f t="shared" si="1"/>
        <v>492932.14999999997</v>
      </c>
      <c r="H33" s="245">
        <f t="shared" si="1"/>
        <v>86009.88</v>
      </c>
      <c r="I33" s="245">
        <f t="shared" si="1"/>
        <v>1503113</v>
      </c>
    </row>
    <row r="35" spans="1:9" ht="12" thickBot="1" x14ac:dyDescent="0.25">
      <c r="B35" s="251" t="s">
        <v>831</v>
      </c>
      <c r="D35" s="252">
        <f>E33</f>
        <v>2969927.25</v>
      </c>
      <c r="E35" s="248"/>
    </row>
    <row r="36" spans="1:9" ht="12" thickTop="1" x14ac:dyDescent="0.2">
      <c r="B36" t="s">
        <v>810</v>
      </c>
      <c r="D36" s="20">
        <f>D33</f>
        <v>34882842.469999999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7" sqref="D37:E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Milford SD</v>
      </c>
      <c r="B2" s="126">
        <f>'DOE25'!B2</f>
        <v>357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15196050.08</v>
      </c>
      <c r="G4" s="303">
        <f>'DOE25'!L211+'DOE25'!L290</f>
        <v>15196050.079999998</v>
      </c>
      <c r="H4" s="304">
        <f>F4-G4</f>
        <v>0</v>
      </c>
      <c r="I4" s="310" t="str">
        <f>IF(H4=0,"","Does not match DOE25 page 7 and 11 Totals!!")</f>
        <v/>
      </c>
      <c r="N4"/>
    </row>
    <row r="5" spans="1:18" x14ac:dyDescent="0.2">
      <c r="A5" s="21" t="s">
        <v>1287</v>
      </c>
      <c r="B5" s="305">
        <f>IFERROR(VLOOKUP(A5,'School Tables'!$C$3:$D$368,2,FALSE),"")</f>
        <v>26580</v>
      </c>
      <c r="C5" s="297" t="str">
        <f>IFERROR(INDEX('School Tables'!$B$3:$B$368,MATCH('School Level Expenditures'!B5,'School Tables'!$D$3:$D$368,0)),"")</f>
        <v>Milford</v>
      </c>
      <c r="D5" s="294">
        <v>4763832.67</v>
      </c>
      <c r="E5" s="294">
        <v>201878.39</v>
      </c>
      <c r="F5" s="313">
        <f>D5+E5</f>
        <v>4965711.0599999996</v>
      </c>
      <c r="G5" s="297"/>
      <c r="H5" s="297"/>
      <c r="I5" s="126"/>
      <c r="N5"/>
    </row>
    <row r="6" spans="1:18" x14ac:dyDescent="0.2">
      <c r="A6" s="21" t="s">
        <v>1286</v>
      </c>
      <c r="B6" s="305">
        <f>IFERROR(VLOOKUP(A6,'School Tables'!$C$3:$D$368,2,FALSE),"")</f>
        <v>27895</v>
      </c>
      <c r="C6" s="297" t="str">
        <f>IFERROR(INDEX('School Tables'!$B$3:$B$368,MATCH('School Level Expenditures'!B6,'School Tables'!$D$3:$D$368,0)),"")</f>
        <v>Milford</v>
      </c>
      <c r="D6" s="294">
        <v>9672023.9199999999</v>
      </c>
      <c r="E6" s="294">
        <v>409874.32</v>
      </c>
      <c r="F6" s="308">
        <f t="shared" ref="F6:F20" si="0">D6+E6</f>
        <v>10081898.24</v>
      </c>
      <c r="G6" s="297"/>
      <c r="H6" s="297"/>
      <c r="I6" s="126"/>
      <c r="N6"/>
    </row>
    <row r="7" spans="1:18" x14ac:dyDescent="0.2">
      <c r="A7" s="21" t="s">
        <v>1586</v>
      </c>
      <c r="B7" s="305">
        <f>IFERROR(VLOOKUP(A7,'School Tables'!$C$3:$D$368,2,FALSE),"")</f>
        <v>99999</v>
      </c>
      <c r="C7" s="297" t="str">
        <f>IFERROR(INDEX('School Tables'!$B$3:$B$368,MATCH('School Level Expenditures'!B7,'School Tables'!$D$3:$D$368,0)),"")</f>
        <v>Other District Expenditures</v>
      </c>
      <c r="D7" s="294">
        <v>148440.78</v>
      </c>
      <c r="E7" s="294"/>
      <c r="F7" s="308">
        <f t="shared" si="0"/>
        <v>148440.78</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9487799.0000000019</v>
      </c>
      <c r="G24" s="303">
        <f>'DOE25'!L229+'DOE25'!L309</f>
        <v>9487798.9999999981</v>
      </c>
      <c r="H24" s="304">
        <f>F24-G24</f>
        <v>0</v>
      </c>
      <c r="I24" s="310" t="str">
        <f>IF(H24=0,"","Does not match DOE25 page 8 and 12 Totals!!")</f>
        <v/>
      </c>
      <c r="N24"/>
    </row>
    <row r="25" spans="1:14" x14ac:dyDescent="0.2">
      <c r="A25" s="21" t="s">
        <v>1284</v>
      </c>
      <c r="B25" s="305">
        <f>IFERROR(VLOOKUP(A25,'School Tables'!$I$3:$J$80,2,FALSE),"")</f>
        <v>21760</v>
      </c>
      <c r="C25" s="297" t="str">
        <f t="array" ref="C25">IFERROR(INDEX('School Tables'!$H$3:$H$80,MATCH('School Level Expenditures'!B25,'School Tables'!$J$3:$J$80,0)),"")</f>
        <v>Milford</v>
      </c>
      <c r="D25" s="294">
        <v>9172441.5500000007</v>
      </c>
      <c r="E25" s="294">
        <v>206295.3</v>
      </c>
      <c r="F25" s="308">
        <f>D25+E25</f>
        <v>9378736.8500000015</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109062.15</v>
      </c>
      <c r="E26" s="294"/>
      <c r="F26" s="308">
        <f t="shared" ref="F26:F32" si="1">D26+E26</f>
        <v>109062.15</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14676567.079999998</v>
      </c>
      <c r="G36" s="303">
        <f>'DOE25'!L247+'DOE25'!L328</f>
        <v>14676567.08</v>
      </c>
      <c r="H36" s="304">
        <f>F36-G36</f>
        <v>0</v>
      </c>
      <c r="I36" s="310" t="str">
        <f>IF(H36=0,"","Does not match DOE25 page 9 and 13 Totals!!")</f>
        <v/>
      </c>
      <c r="N36"/>
    </row>
    <row r="37" spans="1:14" x14ac:dyDescent="0.2">
      <c r="A37" s="21" t="s">
        <v>1285</v>
      </c>
      <c r="B37" s="305">
        <f>IFERROR(VLOOKUP(A37,'School Tables'!$O$3:$P$122,2,FALSE),"")</f>
        <v>21765</v>
      </c>
      <c r="C37" s="297" t="str">
        <f t="array" ref="C37">IFERROR(INDEX('School Tables'!$N$3:$N$122,MATCH('School Level Expenditures'!B37,'School Tables'!$P$3:$P$122,0)),"")</f>
        <v>Milford</v>
      </c>
      <c r="D37" s="294">
        <v>13788140.449999999</v>
      </c>
      <c r="E37" s="294">
        <v>342101.44</v>
      </c>
      <c r="F37" s="308">
        <f>D37+E37</f>
        <v>14130241.889999999</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546325.18999999994</v>
      </c>
      <c r="E38" s="294"/>
      <c r="F38" s="308">
        <f t="shared" ref="F38:F41" si="2">D38+E38</f>
        <v>546325.18999999994</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0" activePane="bottomLeft" state="frozen"/>
      <selection activeCell="F46" sqref="F46"/>
      <selection pane="bottomLeft" activeCell="C76" sqref="C7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Milford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1199380.1300000001</v>
      </c>
      <c r="D8" s="95">
        <f>'DOE25'!G9</f>
        <v>365</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176244.06</v>
      </c>
      <c r="D11" s="95">
        <f>'DOE25'!G12</f>
        <v>110334.78</v>
      </c>
      <c r="E11" s="95">
        <f>'DOE25'!H12</f>
        <v>0</v>
      </c>
      <c r="F11" s="95">
        <f>'DOE25'!I12</f>
        <v>0</v>
      </c>
      <c r="G11" s="95">
        <f>'DOE25'!J12</f>
        <v>0</v>
      </c>
      <c r="H11" s="124"/>
      <c r="I11" s="124"/>
    </row>
    <row r="12" spans="1:9" x14ac:dyDescent="0.2">
      <c r="A12" s="1" t="s">
        <v>143</v>
      </c>
      <c r="B12" s="6">
        <v>140</v>
      </c>
      <c r="C12" s="95">
        <f>'DOE25'!F13</f>
        <v>99170.1</v>
      </c>
      <c r="D12" s="95">
        <f>'DOE25'!G13</f>
        <v>12264.81</v>
      </c>
      <c r="E12" s="95">
        <f>'DOE25'!H13</f>
        <v>219059.25</v>
      </c>
      <c r="F12" s="95">
        <f>'DOE25'!I13</f>
        <v>248057.44</v>
      </c>
      <c r="G12" s="95">
        <f>'DOE25'!J13</f>
        <v>4769668.3900000006</v>
      </c>
      <c r="H12" s="124"/>
      <c r="I12" s="124"/>
    </row>
    <row r="13" spans="1:9" x14ac:dyDescent="0.2">
      <c r="A13" s="1" t="s">
        <v>144</v>
      </c>
      <c r="B13" s="6">
        <v>150</v>
      </c>
      <c r="C13" s="95">
        <f>'DOE25'!F14</f>
        <v>1775.46</v>
      </c>
      <c r="D13" s="95">
        <f>'DOE25'!G14</f>
        <v>0</v>
      </c>
      <c r="E13" s="95">
        <f>'DOE25'!H14</f>
        <v>14975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57628.13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1534197.8800000001</v>
      </c>
      <c r="D18" s="41">
        <f>SUM(D8:D17)</f>
        <v>122964.59</v>
      </c>
      <c r="E18" s="41">
        <f>SUM(E8:E17)</f>
        <v>234034.25</v>
      </c>
      <c r="F18" s="41">
        <f>SUM(F8:F17)</f>
        <v>248057.44</v>
      </c>
      <c r="G18" s="41">
        <f>SUM(G8:G17)</f>
        <v>4769668.3900000006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358392.22</v>
      </c>
      <c r="D21" s="95">
        <f>'DOE25'!G22</f>
        <v>0</v>
      </c>
      <c r="E21" s="95">
        <f>'DOE25'!H22</f>
        <v>176244.06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97640.57</v>
      </c>
      <c r="D23" s="95">
        <f>'DOE25'!G24</f>
        <v>0</v>
      </c>
      <c r="E23" s="95">
        <f>'DOE25'!H24</f>
        <v>0</v>
      </c>
      <c r="F23" s="95">
        <f>'DOE25'!I24</f>
        <v>9720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245574.78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22760.95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701607.57</v>
      </c>
      <c r="D31" s="41">
        <f>SUM(D21:D30)</f>
        <v>22760.95</v>
      </c>
      <c r="E31" s="41">
        <f>SUM(E21:E30)</f>
        <v>176244.06</v>
      </c>
      <c r="F31" s="41">
        <f>SUM(F21:F30)</f>
        <v>9720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57628.13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165869.26</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64939.33</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4538859.8000000007</v>
      </c>
      <c r="H42" s="124"/>
      <c r="I42" s="124"/>
    </row>
    <row r="43" spans="1:9" x14ac:dyDescent="0.2">
      <c r="A43" s="1" t="s">
        <v>863</v>
      </c>
      <c r="B43" s="6">
        <v>755</v>
      </c>
      <c r="C43" s="95">
        <f>'DOE25'!F44</f>
        <v>200000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100203.64</v>
      </c>
      <c r="E47" s="95">
        <f>'DOE25'!H48</f>
        <v>57790.189999999995</v>
      </c>
      <c r="F47" s="95">
        <f>'DOE25'!I48</f>
        <v>238337.44</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574962.18000000005</v>
      </c>
      <c r="D49" s="24" t="s">
        <v>288</v>
      </c>
      <c r="E49" s="24" t="s">
        <v>288</v>
      </c>
      <c r="F49" s="24" t="s">
        <v>288</v>
      </c>
      <c r="G49" s="24" t="s">
        <v>288</v>
      </c>
      <c r="H49" s="124"/>
      <c r="I49" s="124"/>
    </row>
    <row r="50" spans="1:9" ht="12.75" thickTop="1" thickBot="1" x14ac:dyDescent="0.25">
      <c r="A50" s="38" t="s">
        <v>884</v>
      </c>
      <c r="B50" s="48"/>
      <c r="C50" s="41">
        <f>SUM(C34:C49)</f>
        <v>832590.31</v>
      </c>
      <c r="D50" s="41">
        <f>SUM(D34:D49)</f>
        <v>100203.64</v>
      </c>
      <c r="E50" s="41">
        <f>SUM(E34:E49)</f>
        <v>57790.189999999995</v>
      </c>
      <c r="F50" s="41">
        <f>SUM(F34:F49)</f>
        <v>238337.44</v>
      </c>
      <c r="G50" s="41">
        <f>SUM(G34:G49)</f>
        <v>4769668.3900000006</v>
      </c>
      <c r="H50" s="124"/>
      <c r="I50" s="124"/>
    </row>
    <row r="51" spans="1:9" ht="12" thickTop="1" x14ac:dyDescent="0.2">
      <c r="A51" s="38" t="s">
        <v>885</v>
      </c>
      <c r="B51" s="2"/>
      <c r="C51" s="41">
        <f>C50+C31</f>
        <v>1534197.88</v>
      </c>
      <c r="D51" s="41">
        <f>D50+D31</f>
        <v>122964.59</v>
      </c>
      <c r="E51" s="41">
        <f>E50+E31</f>
        <v>234034.25</v>
      </c>
      <c r="F51" s="41">
        <f>F50+F31</f>
        <v>248057.44</v>
      </c>
      <c r="G51" s="41">
        <f>G50+G31</f>
        <v>4769668.3900000006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26811924</v>
      </c>
      <c r="D56" s="95">
        <f>'DOE25'!G60</f>
        <v>0</v>
      </c>
      <c r="E56" s="95">
        <f>'DOE25'!H60</f>
        <v>0</v>
      </c>
      <c r="F56" s="95">
        <f>'DOE25'!I60</f>
        <v>0</v>
      </c>
      <c r="G56" s="95">
        <f>'DOE25'!J60</f>
        <v>0</v>
      </c>
      <c r="H56"/>
      <c r="I56"/>
    </row>
    <row r="57" spans="1:9" x14ac:dyDescent="0.2">
      <c r="A57" s="1" t="s">
        <v>164</v>
      </c>
      <c r="B57" s="6" t="s">
        <v>165</v>
      </c>
      <c r="C57" s="95">
        <f>'DOE25'!F79</f>
        <v>1347611.83</v>
      </c>
      <c r="D57" s="24" t="s">
        <v>288</v>
      </c>
      <c r="E57" s="95">
        <f>'DOE25'!H79</f>
        <v>86650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18362.189999999999</v>
      </c>
      <c r="D59" s="95">
        <f>'DOE25'!G96</f>
        <v>0</v>
      </c>
      <c r="E59" s="95">
        <f>'DOE25'!H96</f>
        <v>0</v>
      </c>
      <c r="F59" s="95">
        <f>'DOE25'!I96</f>
        <v>7807.98</v>
      </c>
      <c r="G59" s="95">
        <f>'DOE25'!J96</f>
        <v>230808.59000000003</v>
      </c>
      <c r="H59"/>
      <c r="I59"/>
    </row>
    <row r="60" spans="1:9" x14ac:dyDescent="0.2">
      <c r="A60" s="1" t="s">
        <v>170</v>
      </c>
      <c r="B60" s="118" t="s">
        <v>171</v>
      </c>
      <c r="C60" s="24" t="s">
        <v>288</v>
      </c>
      <c r="D60" s="95">
        <f>'DOE25'!G97</f>
        <v>441720.11</v>
      </c>
      <c r="E60" s="24" t="s">
        <v>288</v>
      </c>
      <c r="F60" s="24" t="s">
        <v>288</v>
      </c>
      <c r="G60" s="24" t="s">
        <v>288</v>
      </c>
      <c r="H60"/>
      <c r="I60"/>
    </row>
    <row r="61" spans="1:9" ht="12" thickBot="1" x14ac:dyDescent="0.25">
      <c r="A61" s="1" t="s">
        <v>172</v>
      </c>
      <c r="B61" s="118" t="s">
        <v>173</v>
      </c>
      <c r="C61" s="95">
        <f>SUM('DOE25'!F98:F110)</f>
        <v>34999.26</v>
      </c>
      <c r="D61" s="95">
        <f>SUM('DOE25'!G98:G110)</f>
        <v>0</v>
      </c>
      <c r="E61" s="95">
        <f>SUM('DOE25'!H98:H110)</f>
        <v>15724.57</v>
      </c>
      <c r="F61" s="95">
        <f>SUM('DOE25'!I98:I110)</f>
        <v>0</v>
      </c>
      <c r="G61" s="95">
        <f>SUM('DOE25'!J98:J110)</f>
        <v>14244</v>
      </c>
      <c r="H61"/>
      <c r="I61"/>
    </row>
    <row r="62" spans="1:9" ht="12.75" thickTop="1" thickBot="1" x14ac:dyDescent="0.25">
      <c r="A62" s="29" t="s">
        <v>174</v>
      </c>
      <c r="B62" s="6"/>
      <c r="C62" s="130">
        <f>SUM(C57:C61)</f>
        <v>1400973.28</v>
      </c>
      <c r="D62" s="130">
        <f>SUM(D57:D61)</f>
        <v>441720.11</v>
      </c>
      <c r="E62" s="130">
        <f>SUM(E57:E61)</f>
        <v>102374.57</v>
      </c>
      <c r="F62" s="130">
        <f>SUM(F57:F61)</f>
        <v>7807.98</v>
      </c>
      <c r="G62" s="130">
        <f>SUM(G57:G61)</f>
        <v>245052.59000000003</v>
      </c>
      <c r="H62"/>
      <c r="I62"/>
    </row>
    <row r="63" spans="1:9" ht="12" thickTop="1" x14ac:dyDescent="0.2">
      <c r="A63" s="29" t="s">
        <v>175</v>
      </c>
      <c r="B63" s="6"/>
      <c r="C63" s="22">
        <f>C56+C62</f>
        <v>28212897.280000001</v>
      </c>
      <c r="D63" s="22">
        <f>D56+D62</f>
        <v>441720.11</v>
      </c>
      <c r="E63" s="22">
        <f>E56+E62</f>
        <v>102374.57</v>
      </c>
      <c r="F63" s="22">
        <f>F56+F62</f>
        <v>7807.98</v>
      </c>
      <c r="G63" s="22">
        <f>G56+G62</f>
        <v>245052.59000000003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7284477.5</v>
      </c>
      <c r="D66" s="24" t="s">
        <v>288</v>
      </c>
      <c r="E66" s="24" t="s">
        <v>288</v>
      </c>
      <c r="F66" s="24" t="s">
        <v>288</v>
      </c>
      <c r="G66" s="24" t="s">
        <v>288</v>
      </c>
      <c r="H66"/>
      <c r="I66"/>
    </row>
    <row r="67" spans="1:9" x14ac:dyDescent="0.2">
      <c r="A67" s="1" t="s">
        <v>770</v>
      </c>
      <c r="B67" s="6">
        <v>3112</v>
      </c>
      <c r="C67" s="95">
        <f>'DOE25'!F118</f>
        <v>3026981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10311458.5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240864.93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150700</v>
      </c>
      <c r="D74" s="24"/>
      <c r="E74" s="24"/>
      <c r="F74" s="24"/>
      <c r="G74" s="24"/>
      <c r="H74"/>
      <c r="I74"/>
    </row>
    <row r="75" spans="1:9" x14ac:dyDescent="0.2">
      <c r="A75" s="1" t="s">
        <v>256</v>
      </c>
      <c r="B75" s="6">
        <v>3230</v>
      </c>
      <c r="C75" s="95">
        <f>'DOE25'!F126</f>
        <v>126002.52</v>
      </c>
      <c r="D75" s="24" t="s">
        <v>288</v>
      </c>
      <c r="E75" s="24" t="s">
        <v>288</v>
      </c>
      <c r="F75" s="24" t="s">
        <v>288</v>
      </c>
      <c r="G75" s="24" t="s">
        <v>288</v>
      </c>
      <c r="H75"/>
      <c r="I75"/>
    </row>
    <row r="76" spans="1:9" x14ac:dyDescent="0.2">
      <c r="A76" s="1" t="s">
        <v>257</v>
      </c>
      <c r="B76" s="6" t="s">
        <v>179</v>
      </c>
      <c r="C76" s="95">
        <f>SUM('DOE25'!F127:F130)</f>
        <v>41946.080000000002</v>
      </c>
      <c r="D76" s="24" t="s">
        <v>288</v>
      </c>
      <c r="E76" s="95">
        <f>SUM('DOE25'!H127:H130)</f>
        <v>40000</v>
      </c>
      <c r="F76" s="95">
        <f>SUM('DOE25'!I127:I130)</f>
        <v>0</v>
      </c>
      <c r="G76" s="24" t="s">
        <v>288</v>
      </c>
      <c r="H76"/>
      <c r="I76"/>
    </row>
    <row r="77" spans="1:9" ht="12" thickBot="1" x14ac:dyDescent="0.25">
      <c r="A77" s="1" t="s">
        <v>258</v>
      </c>
      <c r="B77" s="6" t="s">
        <v>180</v>
      </c>
      <c r="C77" s="95">
        <f>SUM('DOE25'!F131:F135)</f>
        <v>0</v>
      </c>
      <c r="D77" s="95">
        <f>SUM('DOE25'!G131:G135)</f>
        <v>9048.17</v>
      </c>
      <c r="E77" s="95">
        <f>SUM('DOE25'!H131:H135)</f>
        <v>0</v>
      </c>
      <c r="F77" s="95">
        <f>SUM('DOE25'!I131:I135)</f>
        <v>0</v>
      </c>
      <c r="G77" s="95">
        <f>SUM('DOE25'!J131:J135)</f>
        <v>0</v>
      </c>
      <c r="H77"/>
      <c r="I77"/>
    </row>
    <row r="78" spans="1:9" ht="12.75" thickTop="1" thickBot="1" x14ac:dyDescent="0.25">
      <c r="A78" s="29" t="s">
        <v>259</v>
      </c>
      <c r="B78" s="6"/>
      <c r="C78" s="130">
        <f>SUM(C72:C77)</f>
        <v>559513.53</v>
      </c>
      <c r="D78" s="130">
        <f>SUM(D72:D77)</f>
        <v>9048.17</v>
      </c>
      <c r="E78" s="130">
        <f>SUM(E72:E77)</f>
        <v>40000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10870972.029999999</v>
      </c>
      <c r="D81" s="130">
        <f>SUM(D79:D80)+D78+D70</f>
        <v>9048.17</v>
      </c>
      <c r="E81" s="130">
        <f>SUM(E79:E80)+E78+E70</f>
        <v>40000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331605.09000000003</v>
      </c>
      <c r="D88" s="95">
        <f>SUM('DOE25'!G153:G161)</f>
        <v>217106.85</v>
      </c>
      <c r="E88" s="95">
        <f>SUM('DOE25'!H153:H161)</f>
        <v>1099217.8599999999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331605.09000000003</v>
      </c>
      <c r="D91" s="131">
        <f>SUM(D85:D90)</f>
        <v>217106.85</v>
      </c>
      <c r="E91" s="131">
        <f>SUM(E85:E90)</f>
        <v>1099217.8599999999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4996.01</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35000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35000</v>
      </c>
      <c r="D103" s="86">
        <f>SUM(D93:D102)</f>
        <v>4996.01</v>
      </c>
      <c r="E103" s="86">
        <f>SUM(E93:E102)</f>
        <v>0</v>
      </c>
      <c r="F103" s="86">
        <f>SUM(F93:F102)</f>
        <v>0</v>
      </c>
      <c r="G103" s="86">
        <f>SUM(G93:G102)</f>
        <v>0</v>
      </c>
    </row>
    <row r="104" spans="1:7" ht="12.75" thickTop="1" thickBot="1" x14ac:dyDescent="0.25">
      <c r="A104" s="33" t="s">
        <v>761</v>
      </c>
      <c r="C104" s="86">
        <f>C63+C81+C91+C103</f>
        <v>39450474.400000006</v>
      </c>
      <c r="D104" s="86">
        <f>D63+D81+D91+D103</f>
        <v>672871.14</v>
      </c>
      <c r="E104" s="86">
        <f>E63+E81+E91+E103</f>
        <v>1241592.43</v>
      </c>
      <c r="F104" s="86">
        <f>F63+F81+F91+F103</f>
        <v>7807.98</v>
      </c>
      <c r="G104" s="86">
        <f>G63+G81+G103</f>
        <v>245052.59000000003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15821413.23</v>
      </c>
      <c r="D109" s="24" t="s">
        <v>288</v>
      </c>
      <c r="E109" s="95">
        <f>('DOE25'!L276)+('DOE25'!L295)+('DOE25'!L314)</f>
        <v>227706.34000000003</v>
      </c>
      <c r="F109" s="24" t="s">
        <v>288</v>
      </c>
      <c r="G109" s="24" t="s">
        <v>288</v>
      </c>
    </row>
    <row r="110" spans="1:7" x14ac:dyDescent="0.2">
      <c r="A110" t="s">
        <v>198</v>
      </c>
      <c r="B110" s="32" t="s">
        <v>199</v>
      </c>
      <c r="C110" s="95">
        <f>('DOE25'!L198)+('DOE25'!L216)+('DOE25'!L234)</f>
        <v>6675914.3300000001</v>
      </c>
      <c r="D110" s="24" t="s">
        <v>288</v>
      </c>
      <c r="E110" s="95">
        <f>('DOE25'!L277)+('DOE25'!L296)+('DOE25'!L315)</f>
        <v>254977.36999999997</v>
      </c>
      <c r="F110" s="24" t="s">
        <v>288</v>
      </c>
      <c r="G110" s="24" t="s">
        <v>288</v>
      </c>
    </row>
    <row r="111" spans="1:7" x14ac:dyDescent="0.2">
      <c r="A111" t="s">
        <v>200</v>
      </c>
      <c r="B111" s="32" t="s">
        <v>165</v>
      </c>
      <c r="C111" s="95">
        <f>('DOE25'!L199)+('DOE25'!L217)+('DOE25'!L235)</f>
        <v>1226969.0199999998</v>
      </c>
      <c r="D111" s="24" t="s">
        <v>288</v>
      </c>
      <c r="E111" s="95">
        <f>('DOE25'!L278)+('DOE25'!L297)+('DOE25'!L316)</f>
        <v>98066.78</v>
      </c>
      <c r="F111" s="24" t="s">
        <v>288</v>
      </c>
      <c r="G111" s="24" t="s">
        <v>288</v>
      </c>
    </row>
    <row r="112" spans="1:7" x14ac:dyDescent="0.2">
      <c r="A112" t="s">
        <v>201</v>
      </c>
      <c r="B112" s="32" t="s">
        <v>167</v>
      </c>
      <c r="C112" s="95">
        <f>('DOE25'!L200)+('DOE25'!L218)+('DOE25'!L236)</f>
        <v>366697.14</v>
      </c>
      <c r="D112" s="24" t="s">
        <v>288</v>
      </c>
      <c r="E112" s="95">
        <f>+('DOE25'!L279)+('DOE25'!L298)+('DOE25'!L317)</f>
        <v>16358.06</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24090993.720000003</v>
      </c>
      <c r="D115" s="86">
        <f>SUM(D109:D114)</f>
        <v>0</v>
      </c>
      <c r="E115" s="86">
        <f>SUM(E109:E114)</f>
        <v>597108.55000000005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3301310.18</v>
      </c>
      <c r="D118" s="24" t="s">
        <v>288</v>
      </c>
      <c r="E118" s="95">
        <f>+('DOE25'!L281)+('DOE25'!L300)+('DOE25'!L319)</f>
        <v>372988.44999999995</v>
      </c>
      <c r="F118" s="24" t="s">
        <v>288</v>
      </c>
      <c r="G118" s="24" t="s">
        <v>288</v>
      </c>
    </row>
    <row r="119" spans="1:7" x14ac:dyDescent="0.2">
      <c r="A119" t="s">
        <v>208</v>
      </c>
      <c r="B119" s="32" t="s">
        <v>209</v>
      </c>
      <c r="C119" s="95">
        <f>('DOE25'!L203)+('DOE25'!L221)+('DOE25'!L239)</f>
        <v>813890.46</v>
      </c>
      <c r="D119" s="24" t="s">
        <v>288</v>
      </c>
      <c r="E119" s="95">
        <f>+('DOE25'!L282)+('DOE25'!L301)+('DOE25'!L320)</f>
        <v>160139.68</v>
      </c>
      <c r="F119" s="24" t="s">
        <v>288</v>
      </c>
      <c r="G119" s="24" t="s">
        <v>288</v>
      </c>
    </row>
    <row r="120" spans="1:7" x14ac:dyDescent="0.2">
      <c r="A120" t="s">
        <v>210</v>
      </c>
      <c r="B120" s="32" t="s">
        <v>211</v>
      </c>
      <c r="C120" s="95">
        <f>('DOE25'!L204)+('DOE25'!L222)+('DOE25'!L240)</f>
        <v>2395182.38</v>
      </c>
      <c r="D120" s="24" t="s">
        <v>288</v>
      </c>
      <c r="E120" s="95">
        <f>+('DOE25'!L283)+('DOE25'!L302)+('DOE25'!L321)</f>
        <v>99960.94</v>
      </c>
      <c r="F120" s="24" t="s">
        <v>288</v>
      </c>
      <c r="G120" s="24" t="s">
        <v>288</v>
      </c>
    </row>
    <row r="121" spans="1:7" x14ac:dyDescent="0.2">
      <c r="A121" t="s">
        <v>212</v>
      </c>
      <c r="B121" s="32" t="s">
        <v>213</v>
      </c>
      <c r="C121" s="95">
        <f>('DOE25'!L205)+('DOE25'!L223)+('DOE25'!L241)</f>
        <v>2075501.3399999999</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2987931.79</v>
      </c>
      <c r="D123" s="24" t="s">
        <v>288</v>
      </c>
      <c r="E123" s="95">
        <f>+('DOE25'!L286)+('DOE25'!L305)+('DOE25'!L324)</f>
        <v>0</v>
      </c>
      <c r="F123" s="24" t="s">
        <v>288</v>
      </c>
      <c r="G123" s="24" t="s">
        <v>288</v>
      </c>
    </row>
    <row r="124" spans="1:7" x14ac:dyDescent="0.2">
      <c r="A124" t="s">
        <v>218</v>
      </c>
      <c r="B124" s="32" t="s">
        <v>219</v>
      </c>
      <c r="C124" s="95">
        <f>('DOE25'!L208)+('DOE25'!L226)+('DOE25'!L244+'DOE25'!L254)</f>
        <v>1245221.31</v>
      </c>
      <c r="D124" s="24" t="s">
        <v>288</v>
      </c>
      <c r="E124" s="95">
        <f>+('DOE25'!L287)+('DOE25'!L306)+('DOE25'!L325)</f>
        <v>20423.22</v>
      </c>
      <c r="F124" s="24" t="s">
        <v>288</v>
      </c>
      <c r="G124" s="24" t="s">
        <v>288</v>
      </c>
    </row>
    <row r="125" spans="1:7" x14ac:dyDescent="0.2">
      <c r="A125" t="s">
        <v>220</v>
      </c>
      <c r="B125" s="32" t="s">
        <v>221</v>
      </c>
      <c r="C125" s="95">
        <f>('DOE25'!L209)+('DOE25'!L227)+('DOE25'!L245)</f>
        <v>1199764.1400000001</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615522.85000000009</v>
      </c>
      <c r="E127" s="24" t="s">
        <v>288</v>
      </c>
      <c r="F127" s="24" t="s">
        <v>288</v>
      </c>
      <c r="G127" s="24" t="s">
        <v>288</v>
      </c>
    </row>
    <row r="128" spans="1:7" ht="12.75" thickTop="1" thickBot="1" x14ac:dyDescent="0.25">
      <c r="A128" s="33" t="s">
        <v>226</v>
      </c>
      <c r="C128" s="86">
        <f>SUM(C118:C127)</f>
        <v>14018801.6</v>
      </c>
      <c r="D128" s="86">
        <f>SUM(D118:D127)</f>
        <v>615522.85000000009</v>
      </c>
      <c r="E128" s="86">
        <f>SUM(E118:E127)</f>
        <v>653512.2899999998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2050793.99</v>
      </c>
      <c r="G130" s="24" t="s">
        <v>288</v>
      </c>
    </row>
    <row r="131" spans="1:7" x14ac:dyDescent="0.2">
      <c r="A131" t="s">
        <v>229</v>
      </c>
      <c r="B131" s="32">
        <v>5110</v>
      </c>
      <c r="C131" s="95">
        <f>'DOE25'!L260</f>
        <v>1188226.83</v>
      </c>
      <c r="D131" s="24" t="s">
        <v>288</v>
      </c>
      <c r="E131" s="129">
        <f>'DOE25'!L341</f>
        <v>0</v>
      </c>
      <c r="F131" s="24" t="s">
        <v>288</v>
      </c>
      <c r="G131" s="24" t="s">
        <v>288</v>
      </c>
    </row>
    <row r="132" spans="1:7" x14ac:dyDescent="0.2">
      <c r="A132" t="s">
        <v>230</v>
      </c>
      <c r="B132" s="32">
        <v>5120</v>
      </c>
      <c r="C132" s="95">
        <f>'DOE25'!L261</f>
        <v>314886.17</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35000</v>
      </c>
    </row>
    <row r="135" spans="1:7" x14ac:dyDescent="0.2">
      <c r="A135" t="s">
        <v>233</v>
      </c>
      <c r="B135" s="32" t="s">
        <v>234</v>
      </c>
      <c r="C135" s="95">
        <f>'DOE25'!L263</f>
        <v>4996.01</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69881.959999999992</v>
      </c>
      <c r="D139" s="24" t="s">
        <v>288</v>
      </c>
      <c r="E139" s="24" t="s">
        <v>288</v>
      </c>
      <c r="F139" s="24" t="s">
        <v>288</v>
      </c>
      <c r="G139" s="24" t="s">
        <v>288</v>
      </c>
    </row>
    <row r="140" spans="1:7" x14ac:dyDescent="0.2">
      <c r="A140" t="s">
        <v>240</v>
      </c>
      <c r="B140" s="32">
        <v>5253</v>
      </c>
      <c r="C140" s="95">
        <f>'DOE25'!L407</f>
        <v>175170.63</v>
      </c>
      <c r="D140" s="24" t="s">
        <v>288</v>
      </c>
      <c r="E140" s="24" t="s">
        <v>288</v>
      </c>
      <c r="F140" s="24" t="s">
        <v>288</v>
      </c>
      <c r="G140" s="24" t="s">
        <v>288</v>
      </c>
    </row>
    <row r="141" spans="1:7" x14ac:dyDescent="0.2">
      <c r="A141" t="s">
        <v>762</v>
      </c>
      <c r="B141" s="32">
        <v>5254</v>
      </c>
      <c r="C141" s="95">
        <f>('DOE25'!L266+'DOE25'!K347) - (C138+C139+C140)</f>
        <v>-245052.59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1508109.01</v>
      </c>
      <c r="D144" s="141">
        <f>SUM(D130:D143)</f>
        <v>0</v>
      </c>
      <c r="E144" s="141">
        <f>SUM(E130:E143)</f>
        <v>0</v>
      </c>
      <c r="F144" s="141">
        <f>SUM(F130:F143)</f>
        <v>2050793.99</v>
      </c>
      <c r="G144" s="141">
        <f>SUM(G130:G143)</f>
        <v>35000</v>
      </c>
    </row>
    <row r="145" spans="1:9" ht="12.75" thickTop="1" thickBot="1" x14ac:dyDescent="0.25">
      <c r="A145" s="33" t="s">
        <v>244</v>
      </c>
      <c r="C145" s="86">
        <f>(C115+C128+C144)</f>
        <v>39617904.329999998</v>
      </c>
      <c r="D145" s="86">
        <f>(D115+D128+D144)</f>
        <v>615522.85000000009</v>
      </c>
      <c r="E145" s="86">
        <f>(E115+E128+E144)</f>
        <v>1250620.8399999999</v>
      </c>
      <c r="F145" s="86">
        <f>(F115+F128+F144)</f>
        <v>2050793.99</v>
      </c>
      <c r="G145" s="86">
        <f>(G115+G128+G144)</f>
        <v>35000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10</v>
      </c>
      <c r="D151" s="153">
        <f>'DOE25'!H490</f>
        <v>20</v>
      </c>
      <c r="E151" s="153">
        <f>'DOE25'!I490</f>
        <v>10</v>
      </c>
      <c r="F151" s="153">
        <f>'DOE25'!J490</f>
        <v>5</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10895000</v>
      </c>
      <c r="C154" s="137">
        <f>'DOE25'!G493</f>
        <v>1404300</v>
      </c>
      <c r="D154" s="137">
        <f>'DOE25'!H493</f>
        <v>4393500</v>
      </c>
      <c r="E154" s="137">
        <f>'DOE25'!I493</f>
        <v>2553500</v>
      </c>
      <c r="F154" s="137">
        <f>'DOE25'!J493</f>
        <v>123530</v>
      </c>
      <c r="G154" s="24" t="s">
        <v>288</v>
      </c>
    </row>
    <row r="155" spans="1:9" x14ac:dyDescent="0.2">
      <c r="A155" s="136" t="s">
        <v>31</v>
      </c>
      <c r="B155" s="137">
        <f>'DOE25'!F494</f>
        <v>5.58</v>
      </c>
      <c r="C155" s="137">
        <f>'DOE25'!G494</f>
        <v>5.0999999999999996</v>
      </c>
      <c r="D155" s="137">
        <f>'DOE25'!H494</f>
        <v>4.43</v>
      </c>
      <c r="E155" s="137">
        <f>'DOE25'!I494</f>
        <v>5.0999999999999996</v>
      </c>
      <c r="F155" s="137">
        <f>'DOE25'!J494</f>
        <v>0</v>
      </c>
      <c r="G155" s="24" t="s">
        <v>288</v>
      </c>
    </row>
    <row r="156" spans="1:9" x14ac:dyDescent="0.2">
      <c r="A156" s="22" t="s">
        <v>32</v>
      </c>
      <c r="B156" s="137">
        <f>'DOE25'!F495</f>
        <v>1085000</v>
      </c>
      <c r="C156" s="137">
        <f>'DOE25'!G495</f>
        <v>840000</v>
      </c>
      <c r="D156" s="137">
        <f>'DOE25'!H495</f>
        <v>2195000</v>
      </c>
      <c r="E156" s="137">
        <f>'DOE25'!I495</f>
        <v>2553500</v>
      </c>
      <c r="F156" s="137">
        <f>'DOE25'!J495</f>
        <v>51871.88</v>
      </c>
      <c r="G156" s="138">
        <f>SUM(B156:F156)</f>
        <v>6725371.8799999999</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545000</v>
      </c>
      <c r="C158" s="137">
        <f>'DOE25'!G497</f>
        <v>140000</v>
      </c>
      <c r="D158" s="137">
        <f>'DOE25'!H497</f>
        <v>220000</v>
      </c>
      <c r="E158" s="137">
        <f>'DOE25'!I497</f>
        <v>258500</v>
      </c>
      <c r="F158" s="137">
        <f>'DOE25'!J497</f>
        <v>24726.83</v>
      </c>
      <c r="G158" s="138">
        <f t="shared" si="0"/>
        <v>1188226.83</v>
      </c>
    </row>
    <row r="159" spans="1:9" x14ac:dyDescent="0.2">
      <c r="A159" s="22" t="s">
        <v>35</v>
      </c>
      <c r="B159" s="137">
        <f>'DOE25'!F498</f>
        <v>540000</v>
      </c>
      <c r="C159" s="137">
        <f>'DOE25'!G498</f>
        <v>700000</v>
      </c>
      <c r="D159" s="137">
        <f>'DOE25'!H498</f>
        <v>1975000</v>
      </c>
      <c r="E159" s="137">
        <f>'DOE25'!I498</f>
        <v>2295000</v>
      </c>
      <c r="F159" s="137">
        <f>'DOE25'!J498</f>
        <v>27145.05</v>
      </c>
      <c r="G159" s="138">
        <f t="shared" si="0"/>
        <v>5537145.0499999998</v>
      </c>
    </row>
    <row r="160" spans="1:9" x14ac:dyDescent="0.2">
      <c r="A160" s="22" t="s">
        <v>36</v>
      </c>
      <c r="B160" s="137">
        <f>'DOE25'!F499</f>
        <v>31050</v>
      </c>
      <c r="C160" s="137">
        <f>'DOE25'!G499</f>
        <v>93450</v>
      </c>
      <c r="D160" s="137">
        <f>'DOE25'!H499</f>
        <v>350119.34</v>
      </c>
      <c r="E160" s="137">
        <f>'DOE25'!I499</f>
        <v>526702.5</v>
      </c>
      <c r="F160" s="137">
        <f>'DOE25'!J499</f>
        <v>1367.41</v>
      </c>
      <c r="G160" s="138">
        <f t="shared" si="0"/>
        <v>1002689.2500000001</v>
      </c>
    </row>
    <row r="161" spans="1:7" x14ac:dyDescent="0.2">
      <c r="A161" s="22" t="s">
        <v>37</v>
      </c>
      <c r="B161" s="137">
        <f>'DOE25'!F500</f>
        <v>571050</v>
      </c>
      <c r="C161" s="137">
        <f>'DOE25'!G500</f>
        <v>793450</v>
      </c>
      <c r="D161" s="137">
        <f>'DOE25'!H500</f>
        <v>2325119.34</v>
      </c>
      <c r="E161" s="137">
        <f>'DOE25'!I500</f>
        <v>2821702.5</v>
      </c>
      <c r="F161" s="137">
        <f>'DOE25'!J500</f>
        <v>28512.46</v>
      </c>
      <c r="G161" s="138">
        <f t="shared" si="0"/>
        <v>6539834.2999999998</v>
      </c>
    </row>
    <row r="162" spans="1:7" x14ac:dyDescent="0.2">
      <c r="A162" s="22" t="s">
        <v>38</v>
      </c>
      <c r="B162" s="137">
        <f>'DOE25'!F501</f>
        <v>540000</v>
      </c>
      <c r="C162" s="137">
        <f>'DOE25'!G501</f>
        <v>140000</v>
      </c>
      <c r="D162" s="137">
        <f>'DOE25'!H501</f>
        <v>220000</v>
      </c>
      <c r="E162" s="137">
        <f>'DOE25'!I501</f>
        <v>255000</v>
      </c>
      <c r="F162" s="137">
        <f>'DOE25'!J501</f>
        <v>13349.59</v>
      </c>
      <c r="G162" s="138">
        <f t="shared" si="0"/>
        <v>1168349.5900000001</v>
      </c>
    </row>
    <row r="163" spans="1:7" x14ac:dyDescent="0.2">
      <c r="A163" s="22" t="s">
        <v>39</v>
      </c>
      <c r="B163" s="137">
        <f>'DOE25'!F502</f>
        <v>31050</v>
      </c>
      <c r="C163" s="137">
        <f>'DOE25'!G502</f>
        <v>33530</v>
      </c>
      <c r="D163" s="137">
        <f>'DOE25'!H502</f>
        <v>76706.259999999995</v>
      </c>
      <c r="E163" s="137">
        <f>'DOE25'!I502</f>
        <v>110542.5</v>
      </c>
      <c r="F163" s="137">
        <f>'DOE25'!J502</f>
        <v>906.64</v>
      </c>
      <c r="G163" s="138">
        <f t="shared" si="0"/>
        <v>252735.40000000002</v>
      </c>
    </row>
    <row r="164" spans="1:7" x14ac:dyDescent="0.2">
      <c r="A164" s="22" t="s">
        <v>246</v>
      </c>
      <c r="B164" s="137">
        <f>'DOE25'!F503</f>
        <v>571050</v>
      </c>
      <c r="C164" s="137">
        <f>'DOE25'!G503</f>
        <v>173530</v>
      </c>
      <c r="D164" s="137">
        <f>'DOE25'!H503</f>
        <v>296706.26</v>
      </c>
      <c r="E164" s="137">
        <f>'DOE25'!I503</f>
        <v>365542.5</v>
      </c>
      <c r="F164" s="137">
        <f>'DOE25'!J503</f>
        <v>14256.23</v>
      </c>
      <c r="G164" s="138">
        <f t="shared" si="0"/>
        <v>1421084.99</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Milford SD</v>
      </c>
    </row>
    <row r="3" spans="1:4" x14ac:dyDescent="0.2">
      <c r="B3" s="188" t="s">
        <v>1602</v>
      </c>
    </row>
    <row r="4" spans="1:4" x14ac:dyDescent="0.2">
      <c r="B4" t="s">
        <v>61</v>
      </c>
      <c r="C4" s="179">
        <f>IF('DOE25'!F665+'DOE25'!F670=0,0,ROUND('DOE25'!F672,0))</f>
        <v>15644</v>
      </c>
    </row>
    <row r="5" spans="1:4" x14ac:dyDescent="0.2">
      <c r="B5" t="s">
        <v>700</v>
      </c>
      <c r="C5" s="179">
        <f>IF('DOE25'!G665+'DOE25'!G670=0,0,ROUND('DOE25'!G672,0))</f>
        <v>15937</v>
      </c>
    </row>
    <row r="6" spans="1:4" x14ac:dyDescent="0.2">
      <c r="B6" t="s">
        <v>62</v>
      </c>
      <c r="C6" s="179">
        <f>IF('DOE25'!H665+'DOE25'!H670=0,0,ROUND('DOE25'!H672,0))</f>
        <v>16675</v>
      </c>
    </row>
    <row r="7" spans="1:4" x14ac:dyDescent="0.2">
      <c r="B7" t="s">
        <v>701</v>
      </c>
      <c r="C7" s="179">
        <f>IF('DOE25'!I665+'DOE25'!I670=0,0,ROUND('DOE25'!I672,0))</f>
        <v>16082</v>
      </c>
    </row>
    <row r="9" spans="1:4" x14ac:dyDescent="0.2">
      <c r="A9" s="187" t="s">
        <v>94</v>
      </c>
      <c r="B9" s="188" t="s">
        <v>1603</v>
      </c>
      <c r="C9" s="181" t="s">
        <v>720</v>
      </c>
      <c r="D9" s="181" t="s">
        <v>721</v>
      </c>
    </row>
    <row r="10" spans="1:4" x14ac:dyDescent="0.2">
      <c r="A10">
        <v>1100</v>
      </c>
      <c r="B10" t="s">
        <v>702</v>
      </c>
      <c r="C10" s="179">
        <f>ROUND('DOE25'!L197+'DOE25'!L215+'DOE25'!L233+'DOE25'!L276+'DOE25'!L295+'DOE25'!L314,0)</f>
        <v>16049120</v>
      </c>
      <c r="D10" s="182">
        <f>ROUND((C10/$C$28)*100,1)</f>
        <v>40.299999999999997</v>
      </c>
    </row>
    <row r="11" spans="1:4" x14ac:dyDescent="0.2">
      <c r="A11">
        <v>1200</v>
      </c>
      <c r="B11" t="s">
        <v>703</v>
      </c>
      <c r="C11" s="179">
        <f>ROUND('DOE25'!L198+'DOE25'!L216+'DOE25'!L234+'DOE25'!L277+'DOE25'!L296+'DOE25'!L315,0)</f>
        <v>6930892</v>
      </c>
      <c r="D11" s="182">
        <f>ROUND((C11/$C$28)*100,1)</f>
        <v>17.399999999999999</v>
      </c>
    </row>
    <row r="12" spans="1:4" x14ac:dyDescent="0.2">
      <c r="A12">
        <v>1300</v>
      </c>
      <c r="B12" t="s">
        <v>704</v>
      </c>
      <c r="C12" s="179">
        <f>ROUND('DOE25'!L199+'DOE25'!L217+'DOE25'!L235+'DOE25'!L278+'DOE25'!L297+'DOE25'!L316,0)</f>
        <v>1325036</v>
      </c>
      <c r="D12" s="182">
        <f>ROUND((C12/$C$28)*100,1)</f>
        <v>3.3</v>
      </c>
    </row>
    <row r="13" spans="1:4" x14ac:dyDescent="0.2">
      <c r="A13">
        <v>1400</v>
      </c>
      <c r="B13" t="s">
        <v>705</v>
      </c>
      <c r="C13" s="179">
        <f>ROUND('DOE25'!L200+'DOE25'!L218+'DOE25'!L236+'DOE25'!L279+'DOE25'!L298+'DOE25'!L317,0)</f>
        <v>383055</v>
      </c>
      <c r="D13" s="182">
        <f>ROUND((C13/$C$28)*100,1)</f>
        <v>1</v>
      </c>
    </row>
    <row r="14" spans="1:4" x14ac:dyDescent="0.2">
      <c r="D14" s="182"/>
    </row>
    <row r="15" spans="1:4" x14ac:dyDescent="0.2">
      <c r="A15">
        <v>2100</v>
      </c>
      <c r="B15" t="s">
        <v>706</v>
      </c>
      <c r="C15" s="179">
        <f>ROUND('DOE25'!L202+'DOE25'!L220+'DOE25'!L238+'DOE25'!L281+'DOE25'!L300+'DOE25'!L319,0)</f>
        <v>3674299</v>
      </c>
      <c r="D15" s="182">
        <f t="shared" ref="D15:D27" si="0">ROUND((C15/$C$28)*100,1)</f>
        <v>9.1999999999999993</v>
      </c>
    </row>
    <row r="16" spans="1:4" x14ac:dyDescent="0.2">
      <c r="A16">
        <v>2200</v>
      </c>
      <c r="B16" t="s">
        <v>707</v>
      </c>
      <c r="C16" s="179">
        <f>ROUND('DOE25'!L203+'DOE25'!L221+'DOE25'!L239+'DOE25'!L282+'DOE25'!L301+'DOE25'!L320,0)</f>
        <v>974030</v>
      </c>
      <c r="D16" s="182">
        <f t="shared" si="0"/>
        <v>2.4</v>
      </c>
    </row>
    <row r="17" spans="1:4" x14ac:dyDescent="0.2">
      <c r="A17" s="183" t="s">
        <v>723</v>
      </c>
      <c r="B17" t="s">
        <v>738</v>
      </c>
      <c r="C17" s="179">
        <f>ROUND('DOE25'!L204+'DOE25'!L209+'DOE25'!L222+'DOE25'!L227+'DOE25'!L240+'DOE25'!L245+'DOE25'!L283+'DOE25'!L288+'DOE25'!L302+'DOE25'!L307+'DOE25'!L321+'DOE25'!L326,0)</f>
        <v>3694907</v>
      </c>
      <c r="D17" s="182">
        <f t="shared" si="0"/>
        <v>9.3000000000000007</v>
      </c>
    </row>
    <row r="18" spans="1:4" x14ac:dyDescent="0.2">
      <c r="A18">
        <v>2400</v>
      </c>
      <c r="B18" t="s">
        <v>711</v>
      </c>
      <c r="C18" s="179">
        <f>ROUND('DOE25'!L205+'DOE25'!L223+'DOE25'!L241+'DOE25'!L284+'DOE25'!L303+'DOE25'!L322,0)</f>
        <v>2075501</v>
      </c>
      <c r="D18" s="182">
        <f t="shared" si="0"/>
        <v>5.2</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2987932</v>
      </c>
      <c r="D20" s="182">
        <f t="shared" si="0"/>
        <v>7.5</v>
      </c>
    </row>
    <row r="21" spans="1:4" x14ac:dyDescent="0.2">
      <c r="A21">
        <v>2700</v>
      </c>
      <c r="B21" t="s">
        <v>710</v>
      </c>
      <c r="C21" s="179">
        <f>ROUND('DOE25'!L208+'DOE25'!L226+'DOE25'!L244+'DOE25'!L287+'DOE25'!L306+'DOE25'!L325,0)</f>
        <v>1265645</v>
      </c>
      <c r="D21" s="182">
        <f t="shared" si="0"/>
        <v>3.2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314886</v>
      </c>
      <c r="D25" s="182">
        <f t="shared" si="0"/>
        <v>0.8</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173802.89</v>
      </c>
      <c r="D27" s="182">
        <f t="shared" si="0"/>
        <v>0.4</v>
      </c>
    </row>
    <row r="28" spans="1:4" x14ac:dyDescent="0.2">
      <c r="B28" s="187" t="s">
        <v>719</v>
      </c>
      <c r="C28" s="180">
        <f>SUM(C10:C27)</f>
        <v>39849105.890000001</v>
      </c>
      <c r="D28" s="184">
        <f>ROUND(SUM(D10:D27),0)</f>
        <v>100</v>
      </c>
    </row>
    <row r="29" spans="1:4" x14ac:dyDescent="0.2">
      <c r="A29">
        <v>4000</v>
      </c>
      <c r="B29" t="s">
        <v>724</v>
      </c>
      <c r="C29" s="179">
        <f>ROUND('DOE25'!L255+'DOE25'!L336+'DOE25'!L374+'DOE25'!L375+'DOE25'!L376+'DOE25'!L377+'DOE25'!L378+'DOE25'!L379+'DOE25'!L380,0)</f>
        <v>2050794</v>
      </c>
    </row>
    <row r="30" spans="1:4" x14ac:dyDescent="0.2">
      <c r="B30" s="187" t="s">
        <v>725</v>
      </c>
      <c r="C30" s="180">
        <f>SUM(C28:C29)</f>
        <v>41899899.890000001</v>
      </c>
    </row>
    <row r="31" spans="1:4" x14ac:dyDescent="0.2">
      <c r="B31" s="33"/>
      <c r="C31" s="180"/>
    </row>
    <row r="32" spans="1:4" x14ac:dyDescent="0.2">
      <c r="A32">
        <v>5100</v>
      </c>
      <c r="B32" s="33" t="s">
        <v>726</v>
      </c>
      <c r="C32" s="180">
        <f>ROUND('DOE25'!L260+'DOE25'!L341,0)</f>
        <v>1188227</v>
      </c>
    </row>
    <row r="34" spans="1:4" x14ac:dyDescent="0.2">
      <c r="A34" s="187" t="s">
        <v>94</v>
      </c>
      <c r="B34" s="188" t="s">
        <v>1604</v>
      </c>
      <c r="C34" s="181" t="s">
        <v>720</v>
      </c>
      <c r="D34" s="181" t="s">
        <v>721</v>
      </c>
    </row>
    <row r="35" spans="1:4" x14ac:dyDescent="0.2">
      <c r="A35">
        <v>1100</v>
      </c>
      <c r="B35" s="185" t="s">
        <v>727</v>
      </c>
      <c r="C35" s="179">
        <f>ROUND('DOE25'!F60+'DOE25'!G60+'DOE25'!H60+'DOE25'!I60+'DOE25'!J60,0)</f>
        <v>26811924</v>
      </c>
      <c r="D35" s="182">
        <f t="shared" ref="D35:D40" si="1">ROUND((C35/$C$41)*100,1)</f>
        <v>65.2</v>
      </c>
    </row>
    <row r="36" spans="1:4" x14ac:dyDescent="0.2">
      <c r="B36" s="185" t="s">
        <v>739</v>
      </c>
      <c r="C36" s="179">
        <f>SUM('DOE25'!F112:J112)-SUM('DOE25'!G97:G110)+('DOE25'!F174+'DOE25'!F175+'DOE25'!I174+'DOE25'!I175)-C35</f>
        <v>1756208.4199999981</v>
      </c>
      <c r="D36" s="182">
        <f t="shared" si="1"/>
        <v>4.3</v>
      </c>
    </row>
    <row r="37" spans="1:4" x14ac:dyDescent="0.2">
      <c r="A37" s="183" t="s">
        <v>835</v>
      </c>
      <c r="B37" s="185" t="s">
        <v>728</v>
      </c>
      <c r="C37" s="179">
        <f>ROUND('DOE25'!F117+'DOE25'!F118,0)</f>
        <v>10311459</v>
      </c>
      <c r="D37" s="182">
        <f t="shared" si="1"/>
        <v>25.1</v>
      </c>
    </row>
    <row r="38" spans="1:4" x14ac:dyDescent="0.2">
      <c r="A38" s="183" t="s">
        <v>734</v>
      </c>
      <c r="B38" s="185" t="s">
        <v>729</v>
      </c>
      <c r="C38" s="179">
        <f>ROUND(SUM('DOE25'!F140:J140)-SUM('DOE25'!F117:F119),0)</f>
        <v>608562</v>
      </c>
      <c r="D38" s="182">
        <f t="shared" si="1"/>
        <v>1.5</v>
      </c>
    </row>
    <row r="39" spans="1:4" x14ac:dyDescent="0.2">
      <c r="A39">
        <v>4000</v>
      </c>
      <c r="B39" s="185" t="s">
        <v>730</v>
      </c>
      <c r="C39" s="179">
        <f>ROUND('DOE25'!F169+'DOE25'!G169+'DOE25'!H169+'DOE25'!I169,0)</f>
        <v>1647930</v>
      </c>
      <c r="D39" s="182">
        <f t="shared" si="1"/>
        <v>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41136083.420000002</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Milford SD</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2019-11-08T14:49:19Z</cp:lastPrinted>
  <dcterms:created xsi:type="dcterms:W3CDTF">1997-12-04T19:04:30Z</dcterms:created>
  <dcterms:modified xsi:type="dcterms:W3CDTF">2020-09-27T22:05:04Z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