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F5" i="13" l="1"/>
  <c r="E10" i="13" l="1"/>
  <c r="H595" i="1" l="1"/>
  <c r="J522" i="1" l="1"/>
  <c r="J521" i="1"/>
  <c r="I523" i="1"/>
  <c r="I522" i="1"/>
  <c r="I521" i="1"/>
  <c r="H523" i="1"/>
  <c r="H522" i="1"/>
  <c r="H521" i="1"/>
  <c r="G523" i="1"/>
  <c r="G522" i="1"/>
  <c r="G521" i="1"/>
  <c r="F523" i="1"/>
  <c r="F522" i="1"/>
  <c r="F521" i="1"/>
  <c r="K523" i="1"/>
  <c r="K522" i="1"/>
  <c r="K521" i="1"/>
  <c r="J523" i="1"/>
  <c r="F528" i="1"/>
  <c r="K528" i="1"/>
  <c r="K527" i="1"/>
  <c r="K526" i="1"/>
  <c r="J528" i="1"/>
  <c r="J527" i="1"/>
  <c r="J526" i="1"/>
  <c r="I528" i="1"/>
  <c r="I527" i="1"/>
  <c r="I526" i="1"/>
  <c r="H528" i="1"/>
  <c r="H527" i="1"/>
  <c r="H526" i="1"/>
  <c r="G528" i="1"/>
  <c r="G527" i="1"/>
  <c r="G526" i="1"/>
  <c r="F527" i="1"/>
  <c r="F526" i="1"/>
  <c r="H63" i="1" l="1"/>
  <c r="H395" i="1"/>
  <c r="H400" i="1"/>
  <c r="H48" i="1"/>
  <c r="H13" i="1"/>
  <c r="H22" i="1"/>
  <c r="H24" i="1"/>
  <c r="H9" i="1"/>
  <c r="F12" i="1"/>
  <c r="I25" i="1" l="1"/>
  <c r="G9" i="1"/>
  <c r="H604" i="1"/>
  <c r="J198" i="1"/>
  <c r="I198" i="1"/>
  <c r="J472" i="1" l="1"/>
  <c r="I472" i="1"/>
  <c r="G472" i="1"/>
  <c r="I468" i="1"/>
  <c r="G468" i="1"/>
  <c r="F468" i="1"/>
  <c r="I358" i="1" l="1"/>
  <c r="J326" i="1" l="1"/>
  <c r="I326" i="1"/>
  <c r="J307" i="1"/>
  <c r="I307" i="1"/>
  <c r="I288" i="1"/>
  <c r="H287" i="1"/>
  <c r="I282" i="1"/>
  <c r="H282" i="1"/>
  <c r="G282" i="1"/>
  <c r="F282" i="1"/>
  <c r="G333" i="1"/>
  <c r="F227" i="1" l="1"/>
  <c r="F204" i="1"/>
  <c r="F224" i="1"/>
  <c r="F206" i="1"/>
  <c r="F241" i="1"/>
  <c r="J243" i="1" l="1"/>
  <c r="I243" i="1"/>
  <c r="H243" i="1"/>
  <c r="G243" i="1"/>
  <c r="F243" i="1"/>
  <c r="J225" i="1"/>
  <c r="I225" i="1"/>
  <c r="H225" i="1"/>
  <c r="G225" i="1"/>
  <c r="F225" i="1"/>
  <c r="J207" i="1"/>
  <c r="I207" i="1"/>
  <c r="H207" i="1"/>
  <c r="G207" i="1"/>
  <c r="F207" i="1"/>
  <c r="K224" i="1"/>
  <c r="J224" i="1"/>
  <c r="H224" i="1"/>
  <c r="G224" i="1"/>
  <c r="I241" i="1"/>
  <c r="G241" i="1"/>
  <c r="I223" i="1"/>
  <c r="H223" i="1"/>
  <c r="G223" i="1"/>
  <c r="F223" i="1"/>
  <c r="I205" i="1"/>
  <c r="G205" i="1"/>
  <c r="F205" i="1"/>
  <c r="K239" i="1"/>
  <c r="I239" i="1"/>
  <c r="H239" i="1"/>
  <c r="G239" i="1"/>
  <c r="F239" i="1"/>
  <c r="K221" i="1"/>
  <c r="I221" i="1"/>
  <c r="H221" i="1"/>
  <c r="G221" i="1"/>
  <c r="F221" i="1"/>
  <c r="K203" i="1"/>
  <c r="I203" i="1"/>
  <c r="G203" i="1"/>
  <c r="F203" i="1"/>
  <c r="I238" i="1"/>
  <c r="H238" i="1"/>
  <c r="G238" i="1"/>
  <c r="F238" i="1"/>
  <c r="I220" i="1"/>
  <c r="H220" i="1"/>
  <c r="G220" i="1"/>
  <c r="F220" i="1"/>
  <c r="I202" i="1"/>
  <c r="H202" i="1"/>
  <c r="G202" i="1"/>
  <c r="F202" i="1"/>
  <c r="K198" i="1"/>
  <c r="H198" i="1"/>
  <c r="G198" i="1"/>
  <c r="F198" i="1"/>
  <c r="K234" i="1"/>
  <c r="J234" i="1"/>
  <c r="I234" i="1"/>
  <c r="H234" i="1"/>
  <c r="G234" i="1"/>
  <c r="F234" i="1"/>
  <c r="K216" i="1"/>
  <c r="J216" i="1"/>
  <c r="I216" i="1"/>
  <c r="H216" i="1"/>
  <c r="G216" i="1"/>
  <c r="F216" i="1"/>
  <c r="K233" i="1"/>
  <c r="J233" i="1"/>
  <c r="I233" i="1"/>
  <c r="H233" i="1"/>
  <c r="G233" i="1"/>
  <c r="F233" i="1"/>
  <c r="K215" i="1"/>
  <c r="J215" i="1"/>
  <c r="H215" i="1"/>
  <c r="G215" i="1"/>
  <c r="F215" i="1"/>
  <c r="K197" i="1"/>
  <c r="J197" i="1"/>
  <c r="H197" i="1"/>
  <c r="G197" i="1"/>
  <c r="F197" i="1"/>
  <c r="K241" i="1"/>
  <c r="J241" i="1"/>
  <c r="H241" i="1"/>
  <c r="K223" i="1"/>
  <c r="J223" i="1"/>
  <c r="F110" i="1" l="1"/>
  <c r="H102" i="1" l="1"/>
  <c r="H110" i="1"/>
  <c r="G158" i="1" l="1"/>
  <c r="F63" i="1"/>
  <c r="F57" i="1"/>
  <c r="J239" i="1" l="1"/>
  <c r="J221" i="1"/>
  <c r="K238" i="1"/>
  <c r="J238" i="1"/>
  <c r="K220" i="1"/>
  <c r="J220" i="1"/>
  <c r="K236" i="1"/>
  <c r="J236" i="1"/>
  <c r="I236" i="1"/>
  <c r="H236" i="1"/>
  <c r="G236" i="1"/>
  <c r="F236" i="1"/>
  <c r="K218" i="1"/>
  <c r="J218" i="1"/>
  <c r="I218" i="1"/>
  <c r="H218" i="1"/>
  <c r="G218" i="1"/>
  <c r="F218" i="1"/>
  <c r="I215" i="1"/>
  <c r="K205" i="1" l="1"/>
  <c r="J205" i="1"/>
  <c r="H205" i="1"/>
  <c r="J203" i="1"/>
  <c r="G200" i="1"/>
  <c r="I197"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C111" i="2" s="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H647" i="1" s="1"/>
  <c r="G17" i="13"/>
  <c r="H17" i="13"/>
  <c r="L251" i="1"/>
  <c r="G18" i="13"/>
  <c r="H18" i="13"/>
  <c r="L252" i="1"/>
  <c r="D18" i="13" s="1"/>
  <c r="G19" i="13"/>
  <c r="H19" i="13"/>
  <c r="L253" i="1"/>
  <c r="G29" i="13"/>
  <c r="H29" i="13"/>
  <c r="L358" i="1"/>
  <c r="L359" i="1"/>
  <c r="L360" i="1"/>
  <c r="I367" i="1"/>
  <c r="J290" i="1"/>
  <c r="J309" i="1"/>
  <c r="J328" i="1"/>
  <c r="K290" i="1"/>
  <c r="K309" i="1"/>
  <c r="K328" i="1"/>
  <c r="L276" i="1"/>
  <c r="L277" i="1"/>
  <c r="L278" i="1"/>
  <c r="L279" i="1"/>
  <c r="L281" i="1"/>
  <c r="E118" i="2" s="1"/>
  <c r="L282" i="1"/>
  <c r="L283" i="1"/>
  <c r="E120" i="2" s="1"/>
  <c r="L284" i="1"/>
  <c r="L285" i="1"/>
  <c r="L286" i="1"/>
  <c r="L287" i="1"/>
  <c r="E124" i="2" s="1"/>
  <c r="L288" i="1"/>
  <c r="L295" i="1"/>
  <c r="L296" i="1"/>
  <c r="L297" i="1"/>
  <c r="L298" i="1"/>
  <c r="L300" i="1"/>
  <c r="L301" i="1"/>
  <c r="L302" i="1"/>
  <c r="L303" i="1"/>
  <c r="L304" i="1"/>
  <c r="L305" i="1"/>
  <c r="L306" i="1"/>
  <c r="G662" i="1" s="1"/>
  <c r="L307" i="1"/>
  <c r="L314" i="1"/>
  <c r="L315" i="1"/>
  <c r="L316" i="1"/>
  <c r="L317" i="1"/>
  <c r="L319" i="1"/>
  <c r="L320" i="1"/>
  <c r="L321" i="1"/>
  <c r="L322" i="1"/>
  <c r="L323" i="1"/>
  <c r="L324" i="1"/>
  <c r="L325" i="1"/>
  <c r="L326" i="1"/>
  <c r="E125" i="2" s="1"/>
  <c r="L333" i="1"/>
  <c r="L334" i="1"/>
  <c r="L335" i="1"/>
  <c r="L260" i="1"/>
  <c r="L261" i="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F663" i="1" s="1"/>
  <c r="C40" i="10"/>
  <c r="F60" i="1"/>
  <c r="C35" i="10" s="1"/>
  <c r="G60" i="1"/>
  <c r="H60" i="1"/>
  <c r="E56" i="2" s="1"/>
  <c r="I60" i="1"/>
  <c r="F79" i="1"/>
  <c r="C57" i="2" s="1"/>
  <c r="F94" i="1"/>
  <c r="F111" i="1"/>
  <c r="G111" i="1"/>
  <c r="G112" i="1" s="1"/>
  <c r="H79" i="1"/>
  <c r="E57" i="2" s="1"/>
  <c r="H94" i="1"/>
  <c r="H111" i="1"/>
  <c r="I111" i="1"/>
  <c r="I112" i="1" s="1"/>
  <c r="J111" i="1"/>
  <c r="J112" i="1" s="1"/>
  <c r="F121" i="1"/>
  <c r="F136" i="1"/>
  <c r="G121" i="1"/>
  <c r="G136" i="1"/>
  <c r="H121" i="1"/>
  <c r="H136" i="1"/>
  <c r="H140" i="1" s="1"/>
  <c r="I121" i="1"/>
  <c r="I136" i="1"/>
  <c r="J121" i="1"/>
  <c r="J136" i="1"/>
  <c r="F147" i="1"/>
  <c r="F162" i="1"/>
  <c r="F169" i="1" s="1"/>
  <c r="G147" i="1"/>
  <c r="G162" i="1"/>
  <c r="H147" i="1"/>
  <c r="H162" i="1"/>
  <c r="H169" i="1" s="1"/>
  <c r="I147" i="1"/>
  <c r="I162" i="1"/>
  <c r="I169" i="1" s="1"/>
  <c r="C11" i="10"/>
  <c r="C12" i="10"/>
  <c r="C13" i="10"/>
  <c r="L250" i="1"/>
  <c r="L332" i="1"/>
  <c r="L254" i="1"/>
  <c r="L268" i="1"/>
  <c r="L269" i="1"/>
  <c r="L349" i="1"/>
  <c r="E142" i="2" s="1"/>
  <c r="L350" i="1"/>
  <c r="I665" i="1"/>
  <c r="I670" i="1"/>
  <c r="I669" i="1"/>
  <c r="C42" i="10"/>
  <c r="C32" i="10"/>
  <c r="L374" i="1"/>
  <c r="L375" i="1"/>
  <c r="L376" i="1"/>
  <c r="L377" i="1"/>
  <c r="L378" i="1"/>
  <c r="L379" i="1"/>
  <c r="F130" i="2" s="1"/>
  <c r="L380" i="1"/>
  <c r="B2" i="10"/>
  <c r="L344" i="1"/>
  <c r="L345" i="1"/>
  <c r="L346" i="1"/>
  <c r="L347" i="1"/>
  <c r="K351" i="1"/>
  <c r="L521" i="1"/>
  <c r="L522" i="1"/>
  <c r="F550" i="1" s="1"/>
  <c r="L523" i="1"/>
  <c r="F551" i="1" s="1"/>
  <c r="L526" i="1"/>
  <c r="G549" i="1" s="1"/>
  <c r="L527" i="1"/>
  <c r="G550" i="1" s="1"/>
  <c r="L528" i="1"/>
  <c r="G551" i="1" s="1"/>
  <c r="L531" i="1"/>
  <c r="L532" i="1"/>
  <c r="H550" i="1" s="1"/>
  <c r="L533" i="1"/>
  <c r="H551" i="1" s="1"/>
  <c r="L536" i="1"/>
  <c r="I549" i="1" s="1"/>
  <c r="L537" i="1"/>
  <c r="I550" i="1" s="1"/>
  <c r="I552" i="1" s="1"/>
  <c r="L538" i="1"/>
  <c r="I551" i="1" s="1"/>
  <c r="L541" i="1"/>
  <c r="L542" i="1"/>
  <c r="J550" i="1" s="1"/>
  <c r="L543" i="1"/>
  <c r="J551" i="1" s="1"/>
  <c r="E131" i="2"/>
  <c r="K270" i="1"/>
  <c r="J270" i="1"/>
  <c r="I270" i="1"/>
  <c r="H270" i="1"/>
  <c r="G270" i="1"/>
  <c r="F270" i="1"/>
  <c r="C131" i="2"/>
  <c r="A1" i="2"/>
  <c r="A2" i="2"/>
  <c r="C8" i="2"/>
  <c r="D8" i="2"/>
  <c r="E8" i="2"/>
  <c r="F8" i="2"/>
  <c r="I439" i="1"/>
  <c r="J9" i="1" s="1"/>
  <c r="G8" i="2" s="1"/>
  <c r="C9" i="2"/>
  <c r="D9" i="2"/>
  <c r="E9" i="2"/>
  <c r="F9" i="2"/>
  <c r="I440" i="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I456" i="1"/>
  <c r="J43" i="1" s="1"/>
  <c r="I457" i="1"/>
  <c r="J37" i="1" s="1"/>
  <c r="I459" i="1"/>
  <c r="J48" i="1" s="1"/>
  <c r="G47" i="2" s="1"/>
  <c r="C49" i="2"/>
  <c r="D56" i="2"/>
  <c r="F56" i="2"/>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2" i="2"/>
  <c r="E112" i="2"/>
  <c r="C113" i="2"/>
  <c r="E113" i="2"/>
  <c r="D115" i="2"/>
  <c r="F115" i="2"/>
  <c r="G115" i="2"/>
  <c r="E119" i="2"/>
  <c r="E121" i="2"/>
  <c r="E123" i="2"/>
  <c r="F128" i="2"/>
  <c r="G128" i="2"/>
  <c r="C130" i="2"/>
  <c r="D134" i="2"/>
  <c r="D144" i="2" s="1"/>
  <c r="E134" i="2"/>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H32" i="1"/>
  <c r="I32" i="1"/>
  <c r="G52" i="1"/>
  <c r="H618" i="1" s="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H408" i="1" s="1"/>
  <c r="H644" i="1" s="1"/>
  <c r="I401" i="1"/>
  <c r="F407" i="1"/>
  <c r="G407" i="1"/>
  <c r="H407" i="1"/>
  <c r="I407" i="1"/>
  <c r="F408" i="1"/>
  <c r="G408" i="1"/>
  <c r="H645"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G452" i="1"/>
  <c r="H452" i="1"/>
  <c r="F460" i="1"/>
  <c r="F461" i="1" s="1"/>
  <c r="H639" i="1" s="1"/>
  <c r="G460" i="1"/>
  <c r="H460" i="1"/>
  <c r="G461" i="1"/>
  <c r="H461" i="1"/>
  <c r="H641" i="1" s="1"/>
  <c r="J641" i="1" s="1"/>
  <c r="F470" i="1"/>
  <c r="G470" i="1"/>
  <c r="I470" i="1"/>
  <c r="I476" i="1" s="1"/>
  <c r="H625" i="1" s="1"/>
  <c r="G474" i="1"/>
  <c r="I474" i="1"/>
  <c r="J474" i="1"/>
  <c r="K495" i="1"/>
  <c r="K496" i="1"/>
  <c r="K497" i="1"/>
  <c r="K498" i="1"/>
  <c r="K499" i="1"/>
  <c r="K501" i="1"/>
  <c r="K502" i="1"/>
  <c r="K503"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J545" i="1" s="1"/>
  <c r="K539" i="1"/>
  <c r="L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8" i="1"/>
  <c r="G620" i="1"/>
  <c r="G622" i="1"/>
  <c r="G623" i="1"/>
  <c r="H627" i="1"/>
  <c r="H628" i="1"/>
  <c r="H630" i="1"/>
  <c r="H634" i="1"/>
  <c r="H635" i="1"/>
  <c r="H636" i="1"/>
  <c r="H638" i="1"/>
  <c r="G640" i="1"/>
  <c r="H640" i="1"/>
  <c r="G641" i="1"/>
  <c r="G643" i="1"/>
  <c r="H643" i="1"/>
  <c r="G644" i="1"/>
  <c r="G645" i="1"/>
  <c r="G650" i="1"/>
  <c r="G652" i="1"/>
  <c r="H652" i="1"/>
  <c r="G653" i="1"/>
  <c r="H653" i="1"/>
  <c r="G654" i="1"/>
  <c r="H654" i="1"/>
  <c r="H655" i="1"/>
  <c r="L256" i="1"/>
  <c r="A31" i="12"/>
  <c r="C18" i="13"/>
  <c r="C91" i="2"/>
  <c r="G156" i="2"/>
  <c r="E103" i="2"/>
  <c r="L427" i="1"/>
  <c r="H112" i="1"/>
  <c r="K571" i="1"/>
  <c r="L419" i="1"/>
  <c r="J643" i="1"/>
  <c r="J140" i="1"/>
  <c r="F571" i="1"/>
  <c r="G22" i="2"/>
  <c r="L401" i="1"/>
  <c r="C139" i="2" s="1"/>
  <c r="G22" i="13"/>
  <c r="C22" i="13" s="1"/>
  <c r="J640" i="1"/>
  <c r="H571" i="1"/>
  <c r="L560" i="1"/>
  <c r="G192" i="1"/>
  <c r="H192" i="1"/>
  <c r="J655" i="1"/>
  <c r="J645" i="1"/>
  <c r="L570" i="1"/>
  <c r="I571" i="1"/>
  <c r="G36" i="2"/>
  <c r="L565" i="1"/>
  <c r="A40" i="12" l="1"/>
  <c r="H545" i="1"/>
  <c r="I545" i="1"/>
  <c r="K545" i="1"/>
  <c r="G545" i="1"/>
  <c r="G552" i="1"/>
  <c r="K551" i="1"/>
  <c r="K550" i="1"/>
  <c r="G625" i="1"/>
  <c r="J617" i="1"/>
  <c r="F18" i="2"/>
  <c r="D31" i="2"/>
  <c r="D50" i="2"/>
  <c r="K598" i="1"/>
  <c r="G647" i="1" s="1"/>
  <c r="J647" i="1" s="1"/>
  <c r="J639" i="1"/>
  <c r="J644" i="1"/>
  <c r="G476" i="1"/>
  <c r="H623" i="1" s="1"/>
  <c r="J623" i="1" s="1"/>
  <c r="J634" i="1"/>
  <c r="L362" i="1"/>
  <c r="H661" i="1"/>
  <c r="L328" i="1"/>
  <c r="E122" i="2"/>
  <c r="E128" i="2" s="1"/>
  <c r="L309" i="1"/>
  <c r="F338" i="1"/>
  <c r="F352" i="1" s="1"/>
  <c r="G338" i="1"/>
  <c r="G352" i="1" s="1"/>
  <c r="C15" i="10"/>
  <c r="C110" i="2"/>
  <c r="C125" i="2"/>
  <c r="C123" i="2"/>
  <c r="C20" i="10"/>
  <c r="E62" i="2"/>
  <c r="E63" i="2" s="1"/>
  <c r="D81" i="2"/>
  <c r="D18" i="2"/>
  <c r="C18" i="2"/>
  <c r="J257" i="1"/>
  <c r="J271" i="1" s="1"/>
  <c r="I257" i="1"/>
  <c r="I271" i="1" s="1"/>
  <c r="F257" i="1"/>
  <c r="F271" i="1" s="1"/>
  <c r="H257" i="1"/>
  <c r="H271" i="1" s="1"/>
  <c r="C119" i="2"/>
  <c r="L211" i="1"/>
  <c r="J49" i="1"/>
  <c r="G48" i="2" s="1"/>
  <c r="I460" i="1"/>
  <c r="J22" i="1"/>
  <c r="G21" i="2" s="1"/>
  <c r="G31" i="2" s="1"/>
  <c r="I452" i="1"/>
  <c r="I461" i="1" s="1"/>
  <c r="H642" i="1" s="1"/>
  <c r="E31" i="2"/>
  <c r="J10" i="1"/>
  <c r="G9" i="2" s="1"/>
  <c r="I446" i="1"/>
  <c r="G642" i="1" s="1"/>
  <c r="J642" i="1" s="1"/>
  <c r="J549" i="1"/>
  <c r="J552" i="1" s="1"/>
  <c r="L544" i="1"/>
  <c r="H549" i="1"/>
  <c r="H552" i="1" s="1"/>
  <c r="L534" i="1"/>
  <c r="F549" i="1"/>
  <c r="L524" i="1"/>
  <c r="C26" i="10"/>
  <c r="C56" i="2"/>
  <c r="F112" i="1"/>
  <c r="C36" i="10" s="1"/>
  <c r="A13" i="12"/>
  <c r="E132" i="2"/>
  <c r="L351" i="1"/>
  <c r="C25" i="10"/>
  <c r="C132" i="2"/>
  <c r="E114" i="2"/>
  <c r="E111" i="2"/>
  <c r="E109" i="2"/>
  <c r="L290" i="1"/>
  <c r="D29" i="13"/>
  <c r="C29" i="13" s="1"/>
  <c r="G661" i="1"/>
  <c r="D127" i="2"/>
  <c r="D128" i="2" s="1"/>
  <c r="H662" i="1"/>
  <c r="G651" i="1"/>
  <c r="J651" i="1" s="1"/>
  <c r="D15" i="13"/>
  <c r="C15" i="13" s="1"/>
  <c r="C21" i="10"/>
  <c r="F662" i="1"/>
  <c r="I662" i="1" s="1"/>
  <c r="C124" i="2"/>
  <c r="G649" i="1"/>
  <c r="J649" i="1" s="1"/>
  <c r="D12" i="13"/>
  <c r="C12" i="13" s="1"/>
  <c r="C121" i="2"/>
  <c r="D6" i="13"/>
  <c r="C6" i="13" s="1"/>
  <c r="C118" i="2"/>
  <c r="L247" i="1"/>
  <c r="D5" i="13"/>
  <c r="C5" i="13" s="1"/>
  <c r="E13" i="13"/>
  <c r="C13" i="13" s="1"/>
  <c r="C19" i="10"/>
  <c r="C122" i="2"/>
  <c r="E8" i="13"/>
  <c r="C8" i="13" s="1"/>
  <c r="C17" i="10"/>
  <c r="C120" i="2"/>
  <c r="I25" i="13"/>
  <c r="C29" i="10"/>
  <c r="J625" i="1"/>
  <c r="L614" i="1"/>
  <c r="L529" i="1"/>
  <c r="L433" i="1"/>
  <c r="L434" i="1" s="1"/>
  <c r="G638" i="1" s="1"/>
  <c r="J638" i="1" s="1"/>
  <c r="L382" i="1"/>
  <c r="G636" i="1" s="1"/>
  <c r="J636" i="1" s="1"/>
  <c r="K338" i="1"/>
  <c r="K352" i="1" s="1"/>
  <c r="G257" i="1"/>
  <c r="G271" i="1" s="1"/>
  <c r="K257" i="1"/>
  <c r="K271" i="1" s="1"/>
  <c r="F192" i="1"/>
  <c r="H52" i="1"/>
  <c r="H619" i="1" s="1"/>
  <c r="J619" i="1" s="1"/>
  <c r="G624" i="1"/>
  <c r="G164" i="2"/>
  <c r="B161" i="2"/>
  <c r="G161" i="2" s="1"/>
  <c r="K500" i="1"/>
  <c r="G157" i="2"/>
  <c r="C114" i="2"/>
  <c r="D91" i="2"/>
  <c r="E78" i="2"/>
  <c r="E81" i="2" s="1"/>
  <c r="C78" i="2"/>
  <c r="F78" i="2"/>
  <c r="F81" i="2" s="1"/>
  <c r="C70" i="2"/>
  <c r="C62" i="2"/>
  <c r="C63" i="2" s="1"/>
  <c r="F661" i="1"/>
  <c r="C18" i="10"/>
  <c r="J338" i="1"/>
  <c r="J352" i="1" s="1"/>
  <c r="H338" i="1"/>
  <c r="H352" i="1" s="1"/>
  <c r="D145" i="2"/>
  <c r="C16" i="10"/>
  <c r="D19" i="13"/>
  <c r="C19" i="13" s="1"/>
  <c r="D17" i="13"/>
  <c r="C17" i="13" s="1"/>
  <c r="D14" i="13"/>
  <c r="C14" i="13" s="1"/>
  <c r="D7" i="13"/>
  <c r="C7" i="13" s="1"/>
  <c r="E16" i="13"/>
  <c r="C16" i="13" s="1"/>
  <c r="C10" i="10"/>
  <c r="C109" i="2"/>
  <c r="L229" i="1"/>
  <c r="G24" i="14" s="1"/>
  <c r="L337" i="1"/>
  <c r="F62" i="2"/>
  <c r="F63" i="2" s="1"/>
  <c r="C23" i="10"/>
  <c r="G163" i="2"/>
  <c r="G162" i="2"/>
  <c r="G160" i="2"/>
  <c r="G159" i="2"/>
  <c r="G158" i="2"/>
  <c r="G103" i="2"/>
  <c r="F103" i="2"/>
  <c r="F104" i="2" s="1"/>
  <c r="C103" i="2"/>
  <c r="F91" i="2"/>
  <c r="E50" i="2"/>
  <c r="E51" i="2" s="1"/>
  <c r="C50" i="2"/>
  <c r="F31" i="2"/>
  <c r="C31" i="2"/>
  <c r="E18" i="2"/>
  <c r="E144" i="2"/>
  <c r="F50" i="2"/>
  <c r="F51" i="2" s="1"/>
  <c r="L338" i="1"/>
  <c r="L352" i="1" s="1"/>
  <c r="C24" i="10"/>
  <c r="H31" i="13"/>
  <c r="H33" i="13" s="1"/>
  <c r="I338" i="1"/>
  <c r="I352" i="1" s="1"/>
  <c r="J650" i="1"/>
  <c r="L407" i="1"/>
  <c r="C140" i="2" s="1"/>
  <c r="C141" i="2" s="1"/>
  <c r="C144" i="2" s="1"/>
  <c r="L571" i="1"/>
  <c r="I192" i="1"/>
  <c r="E91" i="2"/>
  <c r="L408" i="1"/>
  <c r="G637" i="1" s="1"/>
  <c r="D51" i="2"/>
  <c r="J654" i="1"/>
  <c r="J653" i="1"/>
  <c r="F144" i="2"/>
  <c r="F145" i="2" s="1"/>
  <c r="J32" i="1"/>
  <c r="J434" i="1"/>
  <c r="F434" i="1"/>
  <c r="K434" i="1"/>
  <c r="G134" i="2" s="1"/>
  <c r="G144" i="2" s="1"/>
  <c r="G145" i="2" s="1"/>
  <c r="G31" i="13"/>
  <c r="G33" i="13" s="1"/>
  <c r="J193" i="1"/>
  <c r="H193" i="1"/>
  <c r="G169" i="1"/>
  <c r="C39" i="10" s="1"/>
  <c r="G140" i="1"/>
  <c r="F140" i="1"/>
  <c r="G63" i="2"/>
  <c r="G104" i="2" s="1"/>
  <c r="J618" i="1"/>
  <c r="G42" i="2"/>
  <c r="G50" i="2" s="1"/>
  <c r="G51" i="2" s="1"/>
  <c r="G16" i="2"/>
  <c r="J19" i="1"/>
  <c r="G621" i="1" s="1"/>
  <c r="G18" i="2"/>
  <c r="F545" i="1"/>
  <c r="H434" i="1"/>
  <c r="J620" i="1"/>
  <c r="D103" i="2"/>
  <c r="D104" i="2" s="1"/>
  <c r="I140" i="1"/>
  <c r="I193" i="1" s="1"/>
  <c r="G630" i="1" s="1"/>
  <c r="J630" i="1" s="1"/>
  <c r="A22" i="12"/>
  <c r="J652" i="1"/>
  <c r="G571" i="1"/>
  <c r="I434" i="1"/>
  <c r="G434" i="1"/>
  <c r="I663" i="1"/>
  <c r="C27" i="10"/>
  <c r="G635" i="1"/>
  <c r="J635" i="1" s="1"/>
  <c r="G633" i="1" l="1"/>
  <c r="H472" i="1"/>
  <c r="G629" i="1"/>
  <c r="H468" i="1"/>
  <c r="H646" i="1"/>
  <c r="G646" i="1"/>
  <c r="J468" i="1"/>
  <c r="G36" i="14"/>
  <c r="H36" i="14" s="1"/>
  <c r="I36" i="14" s="1"/>
  <c r="D31" i="13"/>
  <c r="C31" i="13" s="1"/>
  <c r="G4" i="14"/>
  <c r="H4" i="14" s="1"/>
  <c r="I4" i="14" s="1"/>
  <c r="E33" i="13"/>
  <c r="D35" i="13" s="1"/>
  <c r="C115" i="2"/>
  <c r="H648" i="1"/>
  <c r="J648" i="1" s="1"/>
  <c r="H660" i="1"/>
  <c r="H664" i="1" s="1"/>
  <c r="H667" i="1" s="1"/>
  <c r="F193" i="1"/>
  <c r="G627" i="1" s="1"/>
  <c r="J627" i="1" s="1"/>
  <c r="E104" i="2"/>
  <c r="G660" i="1"/>
  <c r="G664" i="1" s="1"/>
  <c r="G667" i="1" s="1"/>
  <c r="C128" i="2"/>
  <c r="C145" i="2" s="1"/>
  <c r="F660" i="1"/>
  <c r="F664" i="1" s="1"/>
  <c r="F667" i="1" s="1"/>
  <c r="L545" i="1"/>
  <c r="J51" i="1"/>
  <c r="J52" i="1" s="1"/>
  <c r="H621" i="1" s="1"/>
  <c r="J621" i="1" s="1"/>
  <c r="L257" i="1"/>
  <c r="L271" i="1" s="1"/>
  <c r="I661" i="1"/>
  <c r="C81" i="2"/>
  <c r="C104" i="2" s="1"/>
  <c r="C25" i="13"/>
  <c r="I33" i="13"/>
  <c r="E115" i="2"/>
  <c r="E145" i="2" s="1"/>
  <c r="F552" i="1"/>
  <c r="K549" i="1"/>
  <c r="K552" i="1" s="1"/>
  <c r="C28" i="10"/>
  <c r="D23" i="10" s="1"/>
  <c r="H24" i="14"/>
  <c r="I24" i="14" s="1"/>
  <c r="C51" i="2"/>
  <c r="G631" i="1"/>
  <c r="J646" i="1"/>
  <c r="G193" i="1"/>
  <c r="G628" i="1" s="1"/>
  <c r="J628" i="1" s="1"/>
  <c r="C38" i="10"/>
  <c r="H633" i="1" l="1"/>
  <c r="H474" i="1"/>
  <c r="J633" i="1"/>
  <c r="H470" i="1"/>
  <c r="H476" i="1" s="1"/>
  <c r="H624" i="1" s="1"/>
  <c r="J624" i="1" s="1"/>
  <c r="H629" i="1"/>
  <c r="J629" i="1" s="1"/>
  <c r="G632" i="1"/>
  <c r="F472" i="1"/>
  <c r="G626" i="1"/>
  <c r="J470" i="1"/>
  <c r="J476" i="1" s="1"/>
  <c r="H626" i="1" s="1"/>
  <c r="J626" i="1" s="1"/>
  <c r="H631" i="1"/>
  <c r="H637" i="1"/>
  <c r="J637" i="1" s="1"/>
  <c r="J631" i="1"/>
  <c r="H672" i="1"/>
  <c r="C6" i="10" s="1"/>
  <c r="G672" i="1"/>
  <c r="C5" i="10" s="1"/>
  <c r="F672" i="1"/>
  <c r="C4" i="10" s="1"/>
  <c r="I660" i="1"/>
  <c r="I664" i="1" s="1"/>
  <c r="I672" i="1" s="1"/>
  <c r="C7" i="10" s="1"/>
  <c r="D25" i="10"/>
  <c r="D22" i="10"/>
  <c r="D18" i="10"/>
  <c r="D27" i="10"/>
  <c r="D15" i="10"/>
  <c r="D21" i="10"/>
  <c r="D24" i="10"/>
  <c r="D20" i="10"/>
  <c r="D11" i="10"/>
  <c r="D12" i="10"/>
  <c r="D13" i="10"/>
  <c r="D17" i="10"/>
  <c r="D19" i="10"/>
  <c r="D10" i="10"/>
  <c r="D26" i="10"/>
  <c r="C30" i="10"/>
  <c r="D16" i="10"/>
  <c r="D33" i="13"/>
  <c r="D36" i="13" s="1"/>
  <c r="C41" i="10"/>
  <c r="D38" i="10" s="1"/>
  <c r="F474" i="1" l="1"/>
  <c r="F476" i="1" s="1"/>
  <c r="H622" i="1" s="1"/>
  <c r="H632" i="1"/>
  <c r="J632" i="1" s="1"/>
  <c r="I667" i="1"/>
  <c r="D28" i="10"/>
  <c r="D37" i="10"/>
  <c r="D36" i="10"/>
  <c r="D35" i="10"/>
  <c r="D40" i="10"/>
  <c r="D39" i="10"/>
  <c r="J622" i="1" l="1"/>
  <c r="H656" i="1"/>
  <c r="D41" i="10"/>
</calcChain>
</file>

<file path=xl/comments1.xml><?xml version="1.0" encoding="utf-8"?>
<comments xmlns="http://schemas.openxmlformats.org/spreadsheetml/2006/main">
  <authors>
    <author>Ron  Leclerc</author>
  </authors>
  <commentLis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<sst xmlns="http://schemas.openxmlformats.org/spreadsheetml/2006/main" count="5510" uniqueCount="1611">
  <si>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</si>
  <si>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</si>
  <si>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</si>
  <si>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</si>
  <si>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</si>
  <si>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</si>
  <si>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</si>
  <si>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</si>
  <si>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</si>
  <si>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</si>
  <si>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</si>
  <si>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</si>
  <si>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</si>
  <si>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</si>
  <si>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</si>
  <si>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</si>
  <si>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</si>
  <si>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</si>
  <si>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</si>
  <si>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</si>
  <si>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</si>
  <si>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</si>
  <si>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</si>
  <si>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</si>
  <si>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</si>
  <si>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</si>
  <si>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</si>
  <si>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</si>
  <si>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</si>
  <si>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</si>
  <si>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</si>
  <si>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</si>
  <si>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</si>
  <si>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</si>
  <si>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</si>
  <si>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</si>
  <si>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</si>
  <si>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</si>
  <si>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</si>
  <si>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</si>
  <si>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</si>
  <si>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</si>
  <si>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</si>
  <si>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</si>
  <si>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</si>
  <si>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</si>
  <si>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</si>
  <si>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</si>
  <si>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</si>
  <si>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</si>
  <si>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</si>
  <si>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</si>
  <si>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</si>
  <si>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</si>
  <si>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</si>
  <si>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</si>
  <si>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</si>
  <si>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</si>
  <si>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</si>
  <si>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</si>
  <si>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</si>
  <si>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</si>
  <si>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</si>
  <si>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</si>
  <si>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</si>
  <si>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</si>
  <si>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</si>
  <si>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</si>
  <si>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</si>
  <si>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</si>
  <si>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</si>
  <si>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</si>
  <si>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</si>
  <si>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</si>
  <si>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</si>
  <si>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</si>
  <si>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</si>
  <si>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</si>
  <si>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</si>
  <si>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</si>
  <si>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</si>
  <si>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</si>
  <si>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</si>
  <si>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</si>
  <si>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</si>
  <si>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</si>
  <si>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</si>
  <si>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</si>
  <si>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</si>
  <si>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</si>
  <si>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</si>
  <si>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</si>
  <si>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</si>
  <si>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</si>
  <si>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</si>
  <si>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</si>
  <si>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</si>
  <si>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</si>
  <si>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</si>
  <si>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</si>
  <si>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</si>
  <si>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</si>
  <si>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</si>
  <si>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</si>
  <si>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</si>
  <si>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</si>
  <si>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</si>
  <si>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</si>
  <si>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</si>
  <si>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</si>
  <si>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</si>
  <si>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</si>
  <si>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</si>
  <si>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</si>
  <si>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</si>
  <si>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</si>
  <si>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</si>
  <si>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</si>
  <si>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</si>
  <si>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</si>
  <si>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</si>
  <si>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</si>
  <si>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</si>
  <si>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</si>
  <si>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</si>
  <si>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</si>
  <si>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</si>
  <si>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</si>
  <si>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</si>
  <si>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</si>
  <si>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</si>
  <si>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</si>
  <si>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</si>
  <si>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</si>
  <si>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</si>
  <si>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</si>
  <si>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</si>
  <si>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</si>
  <si>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</si>
  <si>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</si>
  <si>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</si>
  <si>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</si>
  <si>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</si>
  <si>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</si>
  <si>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</si>
  <si>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</si>
  <si>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</si>
  <si>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</si>
  <si>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</si>
  <si>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</si>
  <si>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</si>
  <si>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</si>
  <si>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</si>
  <si>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</si>
  <si>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</si>
  <si>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</si>
  <si>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</si>
  <si>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</si>
  <si>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</si>
  <si>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</si>
  <si>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</si>
  <si>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</si>
  <si>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</si>
  <si>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</si>
  <si>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</si>
  <si>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</si>
  <si>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</si>
  <si>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</si>
  <si>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</si>
  <si>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</si>
  <si>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</si>
  <si>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</si>
  <si>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</si>
  <si>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</si>
  <si>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</si>
  <si>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</si>
  <si>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</si>
  <si>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</si>
  <si>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</si>
  <si>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</si>
  <si>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</si>
  <si>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</si>
  <si>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</si>
  <si>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</si>
  <si>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</si>
  <si>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</si>
  <si>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</si>
  <si>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</si>
  <si>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</si>
  <si>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</si>
  <si>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</si>
  <si>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</si>
  <si>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</si>
  <si>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</si>
  <si>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</si>
  <si>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</si>
  <si>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</si>
  <si>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</si>
  <si>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</si>
  <si>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</si>
  <si>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</si>
  <si>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</si>
  <si>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</si>
  <si>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</si>
  <si>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</si>
  <si>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</si>
  <si>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</si>
  <si>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</si>
  <si>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</si>
  <si>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</si>
  <si>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</si>
  <si>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</si>
  <si>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</si>
  <si>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</si>
  <si>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</si>
  <si>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</si>
  <si>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</si>
  <si>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</si>
  <si>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</si>
  <si>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</si>
  <si>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</si>
  <si>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</si>
  <si>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</si>
  <si>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</si>
  <si>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</si>
  <si>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</si>
  <si>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</si>
  <si>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</si>
  <si>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</si>
  <si>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</si>
  <si>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</si>
  <si>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</si>
  <si>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</si>
  <si>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</si>
  <si>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</si>
  <si>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</si>
  <si>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</si>
  <si>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</si>
  <si>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</si>
  <si>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</si>
  <si>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</si>
  <si>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</si>
  <si>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</si>
  <si>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</si>
  <si>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</si>
  <si>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</si>
  <si>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</si>
  <si>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</si>
  <si>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</si>
  <si>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</si>
  <si>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</si>
  <si>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</si>
  <si>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</si>
  <si>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</si>
  <si>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</si>
  <si>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</si>
  <si>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</si>
  <si>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</si>
  <si>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</si>
  <si>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</si>
  <si>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</si>
  <si>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</si>
  <si>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</si>
  <si>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</si>
  <si>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</si>
  <si>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</si>
  <si>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</si>
  <si>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</si>
  <si>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</si>
  <si>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</si>
  <si>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</si>
  <si>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</si>
  <si>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</si>
  <si>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</si>
  <si>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</si>
  <si>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</si>
  <si>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</si>
  <si>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</si>
  <si>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</si>
  <si>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</si>
  <si>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</si>
  <si>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</si>
  <si>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</si>
  <si>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</si>
  <si>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</si>
  <si>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</si>
  <si>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</si>
  <si>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</si>
  <si>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</si>
  <si>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</si>
  <si>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</si>
  <si>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</si>
  <si>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</si>
  <si>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</si>
  <si>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</si>
  <si>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</si>
  <si>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</si>
  <si>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</si>
  <si>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</si>
  <si>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</si>
  <si>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</si>
  <si>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</si>
  <si>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</si>
  <si>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</si>
  <si>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</si>
  <si>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</si>
  <si>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</si>
  <si>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</si>
  <si>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</si>
  <si>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</si>
  <si>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</si>
  <si>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</si>
  <si>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</si>
  <si>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</si>
  <si>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</si>
  <si>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</si>
  <si>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</si>
  <si>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</si>
  <si>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</si>
  <si>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</si>
  <si>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</si>
  <si>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</si>
  <si>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</si>
  <si>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</si>
  <si>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</si>
  <si>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</si>
  <si>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</si>
  <si>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</si>
  <si>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</si>
  <si>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</si>
  <si>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</si>
  <si>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</si>
  <si>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</si>
  <si>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</si>
  <si>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</si>
  <si>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</si>
  <si>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</si>
  <si>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</si>
  <si>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</si>
  <si>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</si>
  <si>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</si>
  <si>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</si>
  <si>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</si>
  <si>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</si>
  <si>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</si>
  <si>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</si>
  <si>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</si>
  <si>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</si>
  <si>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</si>
  <si>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</si>
  <si>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</si>
  <si>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</si>
  <si>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</si>
  <si>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</si>
  <si>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</si>
  <si>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</si>
  <si>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</si>
  <si>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</si>
  <si>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</si>
  <si>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</si>
  <si>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</si>
  <si>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</si>
  <si>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</si>
  <si>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</si>
  <si>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</si>
  <si>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</si>
  <si>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</si>
  <si>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</si>
  <si>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</si>
  <si>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</si>
  <si>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</si>
  <si>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</si>
  <si>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</si>
  <si>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</si>
  <si>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</si>
  <si>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</si>
  <si>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</si>
  <si>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</si>
  <si>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</si>
  <si>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</si>
  <si>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</si>
  <si>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</si>
  <si>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</si>
  <si>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</si>
  <si>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</si>
  <si>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</si>
  <si>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</si>
  <si>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</si>
  <si>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</si>
  <si>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</si>
  <si>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</si>
  <si>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</si>
  <si>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</si>
  <si>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</si>
  <si>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</si>
  <si>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</si>
  <si>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</si>
  <si>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</si>
  <si>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</si>
  <si>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</si>
  <si>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</si>
  <si>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</si>
  <si>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</si>
  <si>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</si>
  <si>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</si>
  <si>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</si>
  <si>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</si>
  <si>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</si>
  <si>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</si>
  <si>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</si>
  <si>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</si>
  <si>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</si>
  <si>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</si>
  <si>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</si>
  <si>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</si>
  <si>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</si>
  <si>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</si>
  <si>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</si>
  <si>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</si>
  <si>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</si>
  <si>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</si>
  <si>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</si>
  <si>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</si>
  <si>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</si>
  <si>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</si>
  <si>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</si>
  <si>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</si>
  <si>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</si>
  <si>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</si>
  <si>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</si>
  <si>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</si>
  <si>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</si>
  <si>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</si>
  <si>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</si>
  <si>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</si>
  <si>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</si>
  <si>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</si>
  <si>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</si>
  <si>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</si>
  <si>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</si>
  <si>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</si>
  <si>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</si>
  <si>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</si>
  <si>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</si>
  <si>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</si>
  <si>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</si>
  <si>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</si>
  <si>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</si>
  <si>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</si>
  <si>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</si>
  <si>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</si>
  <si>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</si>
  <si>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</si>
  <si>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</si>
  <si>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</si>
  <si>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</si>
  <si>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</si>
  <si>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</si>
  <si>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</si>
  <si>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</si>
  <si>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</si>
  <si>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</si>
  <si>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</si>
  <si>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</si>
  <si>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</si>
  <si>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</si>
  <si>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</si>
  <si>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</si>
  <si>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</si>
  <si>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</si>
  <si>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</si>
  <si>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</si>
  <si>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</si>
  <si>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</si>
  <si>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</si>
  <si>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</si>
  <si>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</si>
  <si>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</si>
  <si>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</si>
  <si>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</si>
  <si>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</si>
  <si>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</si>
  <si>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</si>
  <si>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</si>
  <si>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</si>
  <si>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</si>
  <si>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</si>
  <si>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</si>
  <si>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</si>
  <si>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</si>
  <si>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</si>
  <si>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</si>
  <si>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</si>
  <si>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</si>
  <si>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</si>
  <si>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</si>
  <si>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</si>
  <si>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</si>
  <si>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</si>
  <si>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</si>
  <si>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</si>
  <si>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</si>
  <si>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</si>
  <si>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</si>
  <si>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</si>
  <si>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</si>
  <si>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</si>
  <si>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</si>
  <si>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</si>
  <si>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</si>
  <si>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</si>
  <si>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</si>
  <si>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</si>
  <si>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</si>
  <si>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</si>
  <si>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</si>
  <si>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</si>
  <si>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</si>
  <si>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</si>
  <si>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</si>
  <si>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</si>
  <si>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</si>
  <si>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</si>
  <si>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</si>
  <si>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</si>
  <si>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</si>
  <si>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</si>
  <si>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</si>
  <si>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</si>
  <si>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</si>
  <si>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</si>
  <si>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</si>
  <si>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</si>
  <si>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</si>
  <si>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</si>
  <si>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</si>
  <si>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</si>
  <si>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</si>
  <si>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</si>
  <si>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</si>
  <si>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</si>
  <si>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</si>
  <si>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</si>
  <si>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</si>
  <si>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</si>
  <si>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</si>
  <si>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</si>
  <si>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</si>
  <si>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</si>
  <si>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</si>
  <si>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</si>
  <si>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</si>
  <si>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</si>
  <si>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</si>
  <si>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</si>
  <si>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</si>
  <si>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</si>
  <si>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</si>
  <si>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</si>
  <si>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</si>
  <si>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</si>
  <si>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</si>
  <si>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</si>
  <si>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</si>
  <si>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</si>
  <si>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</si>
  <si>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</si>
  <si>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</si>
  <si>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</si>
  <si>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</si>
  <si>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</si>
  <si>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</si>
  <si>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</si>
  <si>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</si>
  <si>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</si>
  <si>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</si>
  <si>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</si>
  <si>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</si>
  <si>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</si>
  <si>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</si>
  <si>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</si>
  <si>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</si>
  <si>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</si>
  <si>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</si>
  <si>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</si>
  <si>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</si>
  <si>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</si>
  <si>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</si>
  <si>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</si>
  <si>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</si>
  <si>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</si>
  <si>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</si>
  <si>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</si>
  <si>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</si>
  <si>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</si>
  <si>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</si>
  <si>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</si>
  <si>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</si>
  <si>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</si>
  <si>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</si>
  <si>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</si>
  <si>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</si>
  <si>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</si>
  <si>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</si>
  <si>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</si>
  <si>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</si>
  <si>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</si>
  <si>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</si>
  <si>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</si>
  <si>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</si>
  <si>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</si>
  <si>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</si>
  <si>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</si>
  <si>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</si>
  <si>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</si>
  <si>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</si>
  <si>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</si>
  <si>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</si>
  <si>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</si>
  <si>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</si>
  <si>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</si>
  <si>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</si>
  <si>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</si>
  <si>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</si>
  <si>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</si>
  <si>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</si>
  <si>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</si>
  <si>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</si>
  <si>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</si>
  <si>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</si>
  <si>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</si>
  <si>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</si>
  <si>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</si>
  <si>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</si>
  <si>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</si>
  <si>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</si>
  <si>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</si>
  <si>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</si>
  <si>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</si>
  <si>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</si>
  <si>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</si>
  <si>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</si>
  <si>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</si>
  <si>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</si>
  <si>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</si>
  <si>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</si>
  <si>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</si>
  <si>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</si>
  <si>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</si>
  <si>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</si>
  <si>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</si>
  <si>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</si>
  <si>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</si>
  <si>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</si>
  <si>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</si>
  <si>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</si>
  <si>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</si>
  <si>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</si>
  <si>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</si>
  <si>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</si>
  <si>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</si>
  <si>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</si>
  <si>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</si>
  <si>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</si>
  <si>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</si>
  <si>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</si>
  <si>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</si>
  <si>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</si>
  <si>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</si>
  <si>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</si>
  <si>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</si>
  <si>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</si>
  <si>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</si>
  <si>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</si>
  <si>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</si>
  <si>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</si>
  <si>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</si>
  <si>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</si>
  <si>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</si>
  <si>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</si>
  <si>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</si>
  <si>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</si>
  <si>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</si>
  <si>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</si>
  <si>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</si>
  <si>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</si>
  <si>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</si>
  <si>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</si>
  <si>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</si>
  <si>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</si>
  <si>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</si>
  <si>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</si>
  <si>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</si>
  <si>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</si>
  <si>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</si>
  <si>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</si>
  <si>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</si>
  <si>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</si>
  <si>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</si>
  <si>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</si>
  <si>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</si>
  <si>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</si>
  <si>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</si>
  <si>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</si>
  <si>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</si>
  <si>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</si>
  <si>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</si>
  <si>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</si>
  <si>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</si>
  <si>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</si>
  <si>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</si>
  <si>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</si>
  <si>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</si>
  <si>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</si>
  <si>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</si>
  <si>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</si>
  <si>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</si>
  <si>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</si>
  <si>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</si>
  <si>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</si>
  <si>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</si>
  <si>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</si>
  <si>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</si>
  <si>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</si>
  <si>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</si>
  <si>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</si>
  <si>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</si>
  <si>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</si>
  <si>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</si>
  <si>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</si>
  <si>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</si>
  <si>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</si>
  <si>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</si>
  <si>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</si>
  <si>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</si>
  <si>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</si>
  <si>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</si>
  <si>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</si>
  <si>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</si>
  <si>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</si>
  <si>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</si>
  <si>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</si>
  <si>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</si>
  <si>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</si>
  <si>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</si>
  <si>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</si>
  <si>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</si>
  <si>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</si>
  <si>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</si>
  <si>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</si>
  <si>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</si>
  <si>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</si>
  <si>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</si>
  <si>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</si>
  <si>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</si>
  <si>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</si>
  <si>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</si>
  <si>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</si>
  <si>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</si>
  <si>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</si>
  <si>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</si>
  <si>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</si>
  <si>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</si>
  <si>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</si>
  <si>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</si>
  <si>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</si>
  <si>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</si>
  <si>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</si>
  <si>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</si>
  <si>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</si>
  <si>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</si>
  <si>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</si>
  <si>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</si>
  <si>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</si>
  <si>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</si>
  <si>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</si>
  <si>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</si>
  <si>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</si>
  <si>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</si>
  <si>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</si>
  <si>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</si>
  <si>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</si>
  <si>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</si>
  <si>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</si>
  <si>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</si>
  <si>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</si>
  <si>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</si>
  <si>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</si>
  <si>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</si>
  <si>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</si>
  <si>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</si>
  <si>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</si>
  <si>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</si>
  <si>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</si>
  <si>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</si>
  <si>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</si>
  <si>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</si>
  <si>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</si>
  <si>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</si>
  <si>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</si>
  <si>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</si>
  <si>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</si>
  <si>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</si>
  <si>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</si>
  <si>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</si>
  <si>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</si>
  <si>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</si>
  <si>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</si>
  <si>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</si>
  <si>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</si>
  <si>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</si>
  <si>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</si>
  <si>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</si>
  <si>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</si>
  <si>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</si>
  <si>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</si>
  <si>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</si>
  <si>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</si>
  <si>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</si>
  <si>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</si>
  <si>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</si>
  <si>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</si>
  <si>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</si>
  <si>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</si>
  <si>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</si>
  <si>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</si>
  <si>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</si>
  <si>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</si>
  <si>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</si>
  <si>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</si>
  <si>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</si>
  <si>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</si>
  <si>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</si>
  <si>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</si>
  <si>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</si>
  <si>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</si>
  <si>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</si>
  <si>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</si>
  <si>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</si>
  <si>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</si>
  <si>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</si>
  <si>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</si>
  <si>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</si>
  <si>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</si>
  <si>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</si>
  <si>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</si>
  <si>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</si>
  <si>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</si>
  <si>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</si>
  <si>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</si>
  <si>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</si>
  <si>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</si>
  <si>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</si>
  <si>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</si>
  <si>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</si>
  <si>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</si>
  <si>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</si>
  <si>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</si>
  <si>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</si>
  <si>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</si>
  <si>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</si>
  <si>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</si>
  <si>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</si>
  <si>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</si>
  <si>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</si>
  <si>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</si>
  <si>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</si>
  <si>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</si>
  <si>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</si>
  <si>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</si>
  <si>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</si>
  <si>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</si>
  <si>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</si>
  <si>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</si>
  <si>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</si>
  <si>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</si>
  <si>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</si>
  <si>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</si>
  <si>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</si>
  <si>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</si>
  <si>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</si>
  <si>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</si>
  <si>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</si>
  <si>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</si>
  <si>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</si>
  <si>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</si>
  <si>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</si>
  <si>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</si>
  <si>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</si>
  <si>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</si>
  <si>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</si>
  <si>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</si>
  <si>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</si>
  <si>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</si>
  <si>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</si>
  <si>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</si>
  <si>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</si>
  <si>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</si>
  <si>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</si>
  <si>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</si>
  <si>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</si>
  <si>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</si>
  <si>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</si>
  <si>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</si>
  <si>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</si>
  <si>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</si>
  <si>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</si>
  <si>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</si>
  <si>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</si>
  <si>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</si>
  <si>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</si>
  <si>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</si>
  <si>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</si>
  <si>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</si>
  <si>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</si>
  <si>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</si>
  <si>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</si>
  <si>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</si>
  <si>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</si>
  <si>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</si>
  <si>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</si>
  <si>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</si>
  <si>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</si>
  <si>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</si>
  <si>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</si>
  <si>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</si>
  <si>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</si>
  <si>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</si>
  <si>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</si>
  <si>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</si>
  <si>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</si>
  <si>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</si>
  <si>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</si>
  <si>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</si>
  <si>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</si>
  <si>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</si>
  <si>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</si>
  <si>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</si>
  <si>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</si>
  <si>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</si>
  <si>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</si>
  <si>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</si>
  <si>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</si>
  <si>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</si>
  <si>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</si>
  <si>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</si>
  <si>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</si>
  <si>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</si>
  <si>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</si>
  <si>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</si>
  <si>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</si>
  <si>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</si>
  <si>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</si>
  <si>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</si>
  <si>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</si>
  <si>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</si>
  <si>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</si>
  <si>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</si>
  <si>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</si>
  <si>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</si>
  <si>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</si>
  <si>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</si>
  <si>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</si>
  <si>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</si>
  <si>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</si>
  <si>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</si>
  <si>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</si>
  <si>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</si>
  <si>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</si>
  <si>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</si>
  <si>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</si>
  <si>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</si>
  <si>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</si>
  <si>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</si>
  <si>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</si>
  <si>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</si>
  <si>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</si>
  <si>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</si>
  <si>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</si>
  <si>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</si>
  <si>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</si>
  <si>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</si>
  <si>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</si>
  <si>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</si>
  <si>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</si>
  <si>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</si>
  <si>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</si>
  <si>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</si>
  <si>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</si>
  <si>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</si>
  <si>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</si>
  <si>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</si>
  <si>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</si>
  <si>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</si>
  <si>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</si>
  <si>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</si>
  <si>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</si>
  <si>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</si>
  <si>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</si>
  <si>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</si>
  <si>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</si>
  <si>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</si>
  <si>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</si>
  <si>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</si>
  <si>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</si>
  <si>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</si>
  <si>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</si>
  <si>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</si>
  <si>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</si>
  <si>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</si>
  <si>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</si>
  <si>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</si>
  <si>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</si>
  <si>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</si>
  <si>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</si>
  <si>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</si>
  <si>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</si>
  <si>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</si>
  <si>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</si>
  <si>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</si>
  <si>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</si>
  <si>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</si>
  <si>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</si>
  <si>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</si>
  <si>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</si>
  <si>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</si>
  <si>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</si>
  <si>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</si>
  <si>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</si>
  <si>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</si>
  <si>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</si>
  <si>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</si>
  <si>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</si>
  <si>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</si>
  <si>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</si>
  <si>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</si>
  <si>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</si>
  <si>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</si>
  <si>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</si>
  <si>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</si>
  <si>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</si>
  <si>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</si>
  <si>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</si>
  <si>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</si>
  <si>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</si>
  <si>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</si>
  <si>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</si>
  <si>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</si>
  <si>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</si>
  <si>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</si>
  <si>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</si>
  <si>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</si>
  <si>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</si>
  <si>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</si>
  <si>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</si>
  <si>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</si>
  <si>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</si>
  <si>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</si>
  <si>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</si>
  <si>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</si>
  <si>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</si>
  <si>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</si>
  <si>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</si>
  <si>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</si>
  <si>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</si>
  <si>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</si>
  <si>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</si>
  <si>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</si>
  <si>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</si>
  <si>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</si>
  <si>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</si>
  <si>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</si>
  <si>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</si>
  <si>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</si>
  <si>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</si>
  <si>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</si>
  <si>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</si>
  <si>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</si>
  <si>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</si>
  <si>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</si>
  <si>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</si>
  <si>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</si>
  <si>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</si>
  <si>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</si>
  <si>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</si>
  <si>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</si>
  <si>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</si>
  <si>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</si>
  <si>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</si>
  <si>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</si>
  <si>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</si>
  <si>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</si>
  <si>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</si>
  <si>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</si>
  <si>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</si>
  <si>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</si>
  <si>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</si>
  <si>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</si>
  <si>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</si>
  <si>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</si>
  <si>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</si>
  <si>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</si>
  <si>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</si>
  <si>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</si>
  <si>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</si>
  <si>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</si>
  <si>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</si>
  <si>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</si>
  <si>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</si>
  <si>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</si>
  <si>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</si>
  <si>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</si>
  <si>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</si>
  <si>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</si>
  <si>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</si>
  <si>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</si>
  <si>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</si>
  <si>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</si>
  <si>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</si>
  <si>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</si>
  <si>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</si>
  <si>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</si>
  <si>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</si>
  <si>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</si>
  <si>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</si>
  <si>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</si>
  <si>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</si>
  <si>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</si>
  <si>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</si>
  <si>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</si>
  <si>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</si>
  <si>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</si>
  <si>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</si>
  <si>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</si>
  <si>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</si>
  <si>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</si>
  <si>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</si>
  <si>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</si>
  <si>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</si>
  <si>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</si>
  <si>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</si>
  <si>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</si>
  <si>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</si>
  <si>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</si>
  <si>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</si>
  <si>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</si>
  <si>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</si>
  <si>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</si>
  <si>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</si>
  <si>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</si>
  <si>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</si>
  <si>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</si>
  <si>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</si>
  <si>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</si>
  <si>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</si>
  <si>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</si>
  <si>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</si>
  <si>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</si>
  <si>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</si>
  <si>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</si>
  <si>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</si>
  <si>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</si>
  <si>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</si>
  <si>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</si>
  <si>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</si>
  <si>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</si>
  <si>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</si>
  <si>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</si>
  <si>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</si>
  <si>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</si>
  <si>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</si>
  <si>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</si>
  <si>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</si>
  <si>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</si>
  <si>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</si>
  <si>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</si>
  <si>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</si>
  <si>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</si>
  <si>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</si>
  <si>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</si>
  <si>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</si>
  <si>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</si>
  <si>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</si>
  <si>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</si>
  <si>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</si>
  <si>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</si>
  <si>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</si>
  <si>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</si>
  <si>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</si>
  <si>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</si>
  <si>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</si>
  <si>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</si>
  <si>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</si>
  <si>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</si>
  <si>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</si>
  <si>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</si>
  <si>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</si>
  <si>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</si>
  <si>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</si>
  <si>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</si>
  <si>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</si>
  <si>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</si>
  <si>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</si>
  <si>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</si>
  <si>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</si>
  <si>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</si>
  <si>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</si>
  <si>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</si>
  <si>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</si>
  <si>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</si>
  <si>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</si>
  <si>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</si>
  <si>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</si>
  <si>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</si>
  <si>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</si>
  <si>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</si>
  <si>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</si>
  <si>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</si>
  <si>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</si>
  <si>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</si>
  <si>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</si>
  <si>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</si>
  <si>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</si>
  <si>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</si>
  <si>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</si>
  <si>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</si>
  <si>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</si>
  <si>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</si>
  <si>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</si>
  <si>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</si>
  <si>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</si>
  <si>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</si>
  <si>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</si>
  <si>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</si>
  <si>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</si>
  <si>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</si>
  <si>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</si>
  <si>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</si>
  <si>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</si>
  <si>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</si>
  <si>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</si>
  <si>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</si>
  <si>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</si>
  <si>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</si>
  <si>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</si>
  <si>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</si>
  <si>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</si>
  <si>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</si>
  <si>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</si>
  <si>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</si>
  <si>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</si>
  <si>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</si>
  <si>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</si>
  <si>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</si>
  <si>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</si>
  <si>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</si>
  <si>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</si>
  <si>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</si>
  <si>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</si>
  <si>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</si>
  <si>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</si>
  <si>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</si>
  <si>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</si>
  <si>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</si>
  <si>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</si>
  <si>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</si>
  <si>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</si>
  <si>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</si>
  <si>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</si>
  <si>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</si>
  <si>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</si>
  <si>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</si>
  <si>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</si>
  <si>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</si>
  <si>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</si>
  <si>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</si>
  <si>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</si>
  <si>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</si>
  <si>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</si>
  <si>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</si>
  <si>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</si>
  <si>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</si>
  <si>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</si>
  <si>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</si>
  <si>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</si>
  <si>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</si>
  <si>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</si>
  <si>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</si>
  <si>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</si>
  <si>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</si>
  <si>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</si>
  <si>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</si>
  <si>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</si>
  <si>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</si>
  <si>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</si>
  <si>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</si>
  <si>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</si>
  <si>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</si>
  <si>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</si>
  <si>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</si>
  <si>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</si>
  <si>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</si>
  <si>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</si>
  <si>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</si>
  <si>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</si>
  <si>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</si>
  <si>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</si>
  <si>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</si>
  <si>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</si>
  <si>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</si>
  <si>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</si>
  <si>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</si>
  <si>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</si>
  <si>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</si>
  <si>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</si>
  <si>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</si>
  <si>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</si>
  <si>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</si>
  <si>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</si>
  <si>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</si>
  <si>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</si>
  <si>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</si>
  <si>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</si>
  <si>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</si>
  <si>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</si>
  <si>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</si>
  <si>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</si>
  <si>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</si>
  <si>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</si>
  <si>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</si>
  <si>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</si>
  <si>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</si>
  <si>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</si>
  <si>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</si>
  <si>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</si>
  <si>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</si>
  <si>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</si>
  <si>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</si>
  <si>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</si>
  <si>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</si>
  <si>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</si>
  <si>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</si>
  <si>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</si>
  <si>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</si>
  <si>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</si>
  <si>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</si>
  <si>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</si>
  <si>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</si>
  <si>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</si>
  <si>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</si>
  <si>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</si>
  <si>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</si>
  <si>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</si>
  <si>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</si>
  <si>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</si>
  <si>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</si>
  <si>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</si>
  <si>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</si>
  <si>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</si>
  <si>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</si>
  <si>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</si>
  <si>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</si>
  <si>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</si>
  <si>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</si>
  <si>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</si>
  <si>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</si>
  <si>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</si>
  <si>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</si>
  <si>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</si>
  <si>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</si>
  <si>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</si>
  <si>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</si>
  <si>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</si>
  <si>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</si>
  <si>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</si>
  <si>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</si>
  <si>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</si>
  <si>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</si>
  <si>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</si>
  <si>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</si>
  <si>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</si>
  <si>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</si>
  <si>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</si>
  <si>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</si>
  <si>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</si>
  <si>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</si>
  <si>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</si>
  <si>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</si>
  <si>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</si>
  <si>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</si>
  <si>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</si>
  <si>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</si>
  <si>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</si>
  <si>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</si>
  <si>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</si>
  <si>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</si>
  <si>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</si>
  <si>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</si>
  <si>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</si>
  <si>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</si>
  <si>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</si>
  <si>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</si>
  <si>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</si>
  <si>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</si>
  <si>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</si>
  <si>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</si>
  <si>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</si>
  <si>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</si>
  <si>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</si>
  <si>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</si>
  <si>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</si>
  <si>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</si>
  <si>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</si>
  <si>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</si>
  <si>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</si>
  <si>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</si>
  <si>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</si>
  <si>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</si>
  <si>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</si>
  <si>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</si>
  <si>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</si>
  <si>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</si>
  <si>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</si>
  <si>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</si>
  <si>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</si>
  <si>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</si>
  <si>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</si>
  <si>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</si>
  <si>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</si>
  <si>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</si>
  <si>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</si>
  <si>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</si>
  <si>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</si>
  <si>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</si>
  <si>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</si>
  <si>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</si>
  <si>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</si>
  <si>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</si>
  <si>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</si>
  <si>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</si>
  <si>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</si>
  <si>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</si>
  <si>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</si>
  <si>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</si>
  <si>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</si>
  <si>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</si>
  <si>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</si>
  <si>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</si>
  <si>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</si>
  <si>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</si>
  <si>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</si>
  <si>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</si>
  <si>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</si>
  <si>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</si>
  <si>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</si>
  <si>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</si>
  <si>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</si>
  <si>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</si>
  <si>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</si>
  <si>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</si>
  <si>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</si>
  <si>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</si>
  <si>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</si>
  <si>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</si>
  <si>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</si>
  <si>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</si>
  <si>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</si>
  <si>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</si>
  <si>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</si>
  <si>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</si>
  <si>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</si>
  <si>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</si>
  <si>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</si>
  <si>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</si>
  <si>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</si>
  <si>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</si>
  <si>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</si>
  <si>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</si>
  <si>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</si>
  <si>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</si>
  <si>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</si>
  <si>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</si>
  <si>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</si>
  <si>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</si>
  <si>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</si>
  <si>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</si>
  <si>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</si>
  <si>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</si>
  <si>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</si>
  <si>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</si>
  <si>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</si>
  <si>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</si>
  <si>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</si>
  <si>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</si>
  <si>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</si>
  <si>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</si>
  <si>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</si>
  <si>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</si>
  <si>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</si>
  <si>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</si>
  <si>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</si>
  <si>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</si>
  <si>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</si>
  <si>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</si>
  <si>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</si>
  <si>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</si>
  <si>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</si>
  <si>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</si>
  <si>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</si>
  <si>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</si>
  <si>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</si>
  <si>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</si>
  <si>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</si>
  <si>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</si>
  <si>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</si>
  <si>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</si>
  <si>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</si>
  <si>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</si>
  <si>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</si>
  <si>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</si>
  <si>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</si>
  <si>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</si>
  <si>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</si>
  <si>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</si>
  <si>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</si>
  <si>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</si>
  <si>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</si>
  <si>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</si>
  <si>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</si>
  <si>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</si>
  <si>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</si>
  <si>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</si>
  <si>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</si>
  <si>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</si>
  <si>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</si>
  <si>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</si>
  <si>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</si>
  <si>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</si>
  <si>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</si>
  <si>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</si>
  <si>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</si>
  <si>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</si>
  <si>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</si>
  <si>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</si>
  <si>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</si>
  <si>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</si>
  <si>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</si>
  <si>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</si>
  <si>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</si>
  <si>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</si>
  <si>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</si>
  <si>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</si>
  <si>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</si>
  <si>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</si>
  <si>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</si>
  <si>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</si>
  <si>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</si>
  <si>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</si>
  <si>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</si>
  <si>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</si>
  <si>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</si>
  <si>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</si>
  <si>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</si>
  <si>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</si>
  <si>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</si>
  <si>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</si>
  <si>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</si>
  <si>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</si>
  <si>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</si>
  <si>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</si>
  <si>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</si>
  <si>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</si>
  <si>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</si>
  <si>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</si>
  <si>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</si>
  <si>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</si>
  <si>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</si>
  <si>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</si>
  <si>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</si>
  <si>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</si>
  <si>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</si>
  <si>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</si>
  <si>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</si>
  <si>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</si>
  <si>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</si>
  <si>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</si>
  <si>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</si>
  <si>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</si>
  <si>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</si>
  <si>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</si>
  <si>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</si>
  <si>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</si>
  <si>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</si>
  <si>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</si>
  <si>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</si>
  <si>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</si>
  <si>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</si>
  <si>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</si>
  <si>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</si>
  <si>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</si>
  <si>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</si>
  <si>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</si>
  <si>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</si>
  <si>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</si>
  <si>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</si>
  <si>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</si>
  <si>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</si>
  <si>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</si>
  <si>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</si>
  <si>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Monadnock Regional School District</t>
  </si>
  <si>
    <t>.01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</si>
</sst>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165" fontId="3" fillId="0" borderId="0" xfId="0" quotePrefix="1"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136" zoomScaleNormal="136" workbookViewId="0">
      <pane xSplit="5" ySplit="3" topLeftCell="F647"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363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213769</v>
      </c>
      <c r="G9" s="18">
        <f>4274+235</f>
        <v>4509</v>
      </c>
      <c r="H9" s="18">
        <f>10858</f>
        <v>10858</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3031065</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v>1060.22</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-912227-229418-70527+495451</f>
        <v>-716721</v>
      </c>
      <c r="G12" s="18">
        <v>229418</v>
      </c>
      <c r="H12" s="18"/>
      <c r="I12" s="18">
        <v>912226.78</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1007726</v>
      </c>
      <c r="G13" s="18">
        <v>19724</v>
      </c>
      <c r="H13" s="18">
        <f>103760+547909+70527</f>
        <v>722196</v>
      </c>
      <c r="I13" s="18"/>
      <c r="J13" s="67">
        <f>SUM(I442)</f>
        <v>517253.54</v>
      </c>
      <c r="K13" s="24" t="s">
        <v>288</v>
      </c>
      <c r="L13" s="24" t="s">
        <v>288</v>
      </c>
      <c r="M13" s="8"/>
      <c r="N13" s="266"/>
    </row>
    <row r="14" spans="1:14" s="3" customFormat="1" ht="12.2" customHeight="1" x14ac:dyDescent="0.15">
      <c r="A14" s="1" t="s">
        <v>565</v>
      </c>
      <c r="B14" s="2" t="s">
        <v>289</v>
      </c>
      <c r="C14" s="6">
        <v>6</v>
      </c>
      <c r="D14" s="2" t="s">
        <v>428</v>
      </c>
      <c r="E14" s="6">
        <v>150</v>
      </c>
      <c r="F14" s="18">
        <v>11194</v>
      </c>
      <c r="G14" s="18">
        <v>11043</v>
      </c>
      <c r="H14" s="18">
        <v>28407</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24588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3312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3551405.22</v>
      </c>
      <c r="G19" s="41">
        <f>SUM(G9:G18)</f>
        <v>289282</v>
      </c>
      <c r="H19" s="41">
        <f>SUM(H9:H18)</f>
        <v>761461</v>
      </c>
      <c r="I19" s="41">
        <f>SUM(I9:I18)</f>
        <v>912226.78</v>
      </c>
      <c r="J19" s="41">
        <f>SUM(J9:J18)</f>
        <v>517253.54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97564+501647</f>
        <v>599211</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441571</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365997</v>
      </c>
      <c r="G24" s="18">
        <v>12580</v>
      </c>
      <c r="H24" s="18">
        <f>74+46262</f>
        <v>46336</v>
      </c>
      <c r="I24" s="18">
        <v>130866</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f>74733</f>
        <v>74733</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711605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35157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1519173</v>
      </c>
      <c r="G32" s="41">
        <f>SUM(G22:G31)</f>
        <v>12580</v>
      </c>
      <c r="H32" s="41">
        <f>SUM(H22:H31)</f>
        <v>680704</v>
      </c>
      <c r="I32" s="41">
        <f>SUM(I22:I31)</f>
        <v>205599</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24588</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3312</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252114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v>706627.78</v>
      </c>
      <c r="J43" s="13">
        <f>SUM(I456)</f>
        <v>0</v>
      </c>
      <c r="K43" s="24" t="s">
        <v>288</v>
      </c>
      <c r="L43" s="24" t="s">
        <v>288</v>
      </c>
      <c r="M43" s="8"/>
      <c r="N43" s="266"/>
    </row>
    <row r="44" spans="1:14" s="3" customFormat="1" ht="12.2" customHeight="1" x14ac:dyDescent="0.15">
      <c r="A44" s="1" t="s">
        <v>837</v>
      </c>
      <c r="B44" s="6">
        <v>1</v>
      </c>
      <c r="C44" s="6">
        <v>30</v>
      </c>
      <c r="D44" s="2" t="s">
        <v>653</v>
      </c>
      <c r="E44" s="6">
        <v>755</v>
      </c>
      <c r="F44" s="18">
        <v>1</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45387+35370</f>
        <v>80757</v>
      </c>
      <c r="I48" s="18"/>
      <c r="J48" s="13">
        <f>SUM(I459)</f>
        <v>517253.54</v>
      </c>
      <c r="K48" s="24" t="s">
        <v>288</v>
      </c>
      <c r="L48" s="24" t="s">
        <v>288</v>
      </c>
      <c r="M48" s="8"/>
      <c r="N48" s="266"/>
    </row>
    <row r="49" spans="1:14" s="3" customFormat="1" ht="12.2" customHeight="1" x14ac:dyDescent="0.15">
      <c r="A49" s="1" t="s">
        <v>859</v>
      </c>
      <c r="B49" s="2" t="s">
        <v>289</v>
      </c>
      <c r="C49" s="6">
        <v>34</v>
      </c>
      <c r="D49" s="2"/>
      <c r="E49" s="6">
        <v>753</v>
      </c>
      <c r="F49" s="18">
        <v>730559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1298360.22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2032232.22</v>
      </c>
      <c r="G51" s="41">
        <f>SUM(G35:G50)</f>
        <v>276702</v>
      </c>
      <c r="H51" s="41">
        <f>SUM(H35:H50)</f>
        <v>80757</v>
      </c>
      <c r="I51" s="41">
        <f>SUM(I35:I50)</f>
        <v>706627.78</v>
      </c>
      <c r="J51" s="41">
        <f>SUM(J35:J50)</f>
        <v>517253.54</v>
      </c>
      <c r="K51" s="45" t="s">
        <v>288</v>
      </c>
      <c r="L51" s="45" t="s">
        <v>288</v>
      </c>
      <c r="N51" s="264"/>
    </row>
    <row r="52" spans="1:14" s="3" customFormat="1" ht="12.2" customHeight="1" thickTop="1" x14ac:dyDescent="0.15">
      <c r="A52" s="38" t="s">
        <v>455</v>
      </c>
      <c r="B52" s="39" t="s">
        <v>289</v>
      </c>
      <c r="C52" s="6">
        <v>37</v>
      </c>
      <c r="D52" s="39" t="s">
        <v>653</v>
      </c>
      <c r="E52" s="39"/>
      <c r="F52" s="41">
        <f>F51+F32</f>
        <v>3551405.2199999997</v>
      </c>
      <c r="G52" s="41">
        <f>G51+G32</f>
        <v>289282</v>
      </c>
      <c r="H52" s="41">
        <f>H51+H32</f>
        <v>761461</v>
      </c>
      <c r="I52" s="41">
        <f>I51+I32</f>
        <v>912226.78</v>
      </c>
      <c r="J52" s="41">
        <f>J51+J32</f>
        <v>517253.54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3836945.95+909599+1628859+337859+9427097+2540943.99</f>
        <v>18681303.939999998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18681303.939999998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15234.25+19023.25+9141.2+12581.06</f>
        <v>55979.759999999995</v>
      </c>
      <c r="G63" s="24" t="s">
        <v>288</v>
      </c>
      <c r="H63" s="18">
        <f>72009.9+28645.93+17130.14</f>
        <v>117785.96999999999</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180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50050.42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106210.18</v>
      </c>
      <c r="G79" s="45" t="s">
        <v>288</v>
      </c>
      <c r="H79" s="41">
        <f>SUM(H63:H78)</f>
        <v>117785.96999999999</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44992.53</v>
      </c>
      <c r="G96" s="18"/>
      <c r="H96" s="18"/>
      <c r="I96" s="18"/>
      <c r="J96" s="18">
        <v>10516.76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413570.69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3736.09</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2017.25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500+377.29+62+348+93+879.17-310.76+905</f>
        <v>2853.7</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710.35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1557+49510.85+70571.69</f>
        <v>121639.54000000001</v>
      </c>
      <c r="G110" s="18"/>
      <c r="H110" s="18">
        <f>0.5+0.25</f>
        <v>0.75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169359.67</v>
      </c>
      <c r="G111" s="41">
        <f>SUM(G96:G110)</f>
        <v>413570.69</v>
      </c>
      <c r="H111" s="41">
        <f>SUM(H96:H110)</f>
        <v>6590.54</v>
      </c>
      <c r="I111" s="41">
        <f>SUM(I96:I110)</f>
        <v>0</v>
      </c>
      <c r="J111" s="41">
        <f>SUM(J96:J110)</f>
        <v>10516.76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18956873.789999999</v>
      </c>
      <c r="G112" s="41">
        <f>G60+G111</f>
        <v>413570.69</v>
      </c>
      <c r="H112" s="41">
        <f>H60+H79+H94+H111</f>
        <v>124376.50999999998</v>
      </c>
      <c r="I112" s="41">
        <f>I60+I111</f>
        <v>0</v>
      </c>
      <c r="J112" s="41">
        <f>J60+J111</f>
        <v>10516.76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9024662.1500000004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2303338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14067.02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11342067.17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141514.34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297236.02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7174.67</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11449.86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77755</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523680.02999999997</v>
      </c>
      <c r="G136" s="41">
        <f>SUM(G123:G135)</f>
        <v>11449.86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11865747.199999999</v>
      </c>
      <c r="G140" s="41">
        <f>G121+SUM(G136:G137)</f>
        <v>11449.86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472644.79000000004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518984.08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278466.6+90087.89+47392.55+5195+48487</f>
        <v>469629.04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369816.94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556186.59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556186.59</v>
      </c>
      <c r="G162" s="41">
        <f>SUM(G150:G161)</f>
        <v>469629.04</v>
      </c>
      <c r="H162" s="41">
        <f>SUM(H150:H161)</f>
        <v>1361445.81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49500</v>
      </c>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605686.59</v>
      </c>
      <c r="G169" s="41">
        <f>G147+G162+SUM(G163:G168)</f>
        <v>469629.04</v>
      </c>
      <c r="H169" s="41">
        <f>H147+H162+SUM(H163:H168)</f>
        <v>1361445.81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v>1766792</v>
      </c>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1766792</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1766792</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31428307.579999998</v>
      </c>
      <c r="G193" s="47">
        <f>G112+G140+G169+G192</f>
        <v>894649.59</v>
      </c>
      <c r="H193" s="47">
        <f>H112+H140+H169+H192</f>
        <v>1485822.32</v>
      </c>
      <c r="I193" s="47">
        <f>I112+I140+I169+I192</f>
        <v>1766792</v>
      </c>
      <c r="J193" s="47">
        <f>J112+J140+J192</f>
        <v>10516.76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3330383.98+29927.42+72311.8+5605+9842+1339871.72</f>
        <v>4787941.92</v>
      </c>
      <c r="G197" s="18">
        <f>17013.73+59891.14+3940.91+581803.84+256959.55+8524.9</f>
        <v>928134.07</v>
      </c>
      <c r="H197" s="18">
        <f>817.87+75385.28</f>
        <v>76203.149999999994</v>
      </c>
      <c r="I197" s="18">
        <f>91164.35+116.87+739.31+22839.9</f>
        <v>114860.43</v>
      </c>
      <c r="J197" s="18">
        <f>209.21+1387.86+2539.14+8808.16+14473.59</f>
        <v>27417.96</v>
      </c>
      <c r="K197" s="18">
        <f>17217.3</f>
        <v>17217.3</v>
      </c>
      <c r="L197" s="19">
        <f>SUM(F197:K197)</f>
        <v>5951774.8300000001</v>
      </c>
      <c r="M197" s="8"/>
      <c r="N197" s="266"/>
    </row>
    <row r="198" spans="1:14" s="3" customFormat="1" ht="12.2" customHeight="1" x14ac:dyDescent="0.15">
      <c r="A198" s="1" t="s">
        <v>439</v>
      </c>
      <c r="B198" s="2" t="s">
        <v>341</v>
      </c>
      <c r="C198" s="2" t="s">
        <v>291</v>
      </c>
      <c r="D198" s="2" t="s">
        <v>431</v>
      </c>
      <c r="E198" s="6">
        <v>1200</v>
      </c>
      <c r="F198" s="18">
        <f>535356.62+12000+930502.9+12087.75+236638.7</f>
        <v>1726585.97</v>
      </c>
      <c r="G198" s="18">
        <f>705336.08+44012.88+106614.69+94633.44+106375.76+86643.79</f>
        <v>1143616.6399999999</v>
      </c>
      <c r="H198" s="18">
        <f>16.25+1764696.54</f>
        <v>1764712.79</v>
      </c>
      <c r="I198" s="18">
        <f>7397.15+1044.79+6877.57</f>
        <v>15319.509999999998</v>
      </c>
      <c r="J198" s="18">
        <f>2076.39+33.99+33.99</f>
        <v>2144.3699999999994</v>
      </c>
      <c r="K198" s="18">
        <f>2928.07</f>
        <v>2928.07</v>
      </c>
      <c r="L198" s="19">
        <f>SUM(F198:K198)</f>
        <v>4655307.3500000006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3574.99</v>
      </c>
      <c r="G200" s="18">
        <f>340.9+268.59</f>
        <v>609.49</v>
      </c>
      <c r="H200" s="18">
        <v>17431.22</v>
      </c>
      <c r="I200" s="18"/>
      <c r="J200" s="18"/>
      <c r="K200" s="18"/>
      <c r="L200" s="19">
        <f>SUM(F200:K200)</f>
        <v>21615.7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442145.39+1744.35+324825.56</f>
        <v>768715.3</v>
      </c>
      <c r="G202" s="18">
        <f>7690.57+76551.05+32225.79+162851.45</f>
        <v>279318.86</v>
      </c>
      <c r="H202" s="18">
        <f>652.43+1860.38</f>
        <v>2512.81</v>
      </c>
      <c r="I202" s="18">
        <f>6123.17+3138.35</f>
        <v>9261.52</v>
      </c>
      <c r="J202" s="18">
        <v>198</v>
      </c>
      <c r="K202" s="18"/>
      <c r="L202" s="19">
        <f t="shared" ref="L202:L208" si="0">SUM(F202:K202)</f>
        <v>1060006.49</v>
      </c>
      <c r="M202" s="8"/>
      <c r="N202" s="266"/>
    </row>
    <row r="203" spans="1:14" s="3" customFormat="1" ht="12.2" customHeight="1" x14ac:dyDescent="0.15">
      <c r="A203" s="1" t="s">
        <v>443</v>
      </c>
      <c r="B203" s="2" t="s">
        <v>341</v>
      </c>
      <c r="C203" s="2" t="s">
        <v>295</v>
      </c>
      <c r="D203" s="2" t="s">
        <v>431</v>
      </c>
      <c r="E203" s="6">
        <v>2200</v>
      </c>
      <c r="F203" s="18">
        <f>87330.86+90202.66</f>
        <v>177533.52000000002</v>
      </c>
      <c r="G203" s="18">
        <f>56894.25+2821.92+9904.18+6055.34+35351.97</f>
        <v>111027.66</v>
      </c>
      <c r="H203" s="18">
        <v>23371.05</v>
      </c>
      <c r="I203" s="18">
        <f>2309.38+7640.3+14138.81</f>
        <v>24088.489999999998</v>
      </c>
      <c r="J203" s="18">
        <f>126.85</f>
        <v>126.85</v>
      </c>
      <c r="K203" s="18">
        <f>860.3</f>
        <v>860.3</v>
      </c>
      <c r="L203" s="19">
        <f t="shared" si="0"/>
        <v>337007.87</v>
      </c>
      <c r="M203" s="8"/>
      <c r="N203" s="266"/>
    </row>
    <row r="204" spans="1:14" s="3" customFormat="1" ht="12.2" customHeight="1" x14ac:dyDescent="0.15">
      <c r="A204" s="1" t="s">
        <v>444</v>
      </c>
      <c r="B204" s="2" t="s">
        <v>341</v>
      </c>
      <c r="C204" s="2" t="s">
        <v>296</v>
      </c>
      <c r="D204" s="2" t="s">
        <v>431</v>
      </c>
      <c r="E204" s="6">
        <v>2300</v>
      </c>
      <c r="F204" s="18">
        <f>115749.03-0.01</f>
        <v>115749.02</v>
      </c>
      <c r="G204" s="18">
        <v>44311.22</v>
      </c>
      <c r="H204" s="18">
        <v>138602.98000000001</v>
      </c>
      <c r="I204" s="18">
        <v>10491.82</v>
      </c>
      <c r="J204" s="18">
        <v>712.82</v>
      </c>
      <c r="K204" s="18">
        <v>15415.09</v>
      </c>
      <c r="L204" s="19">
        <f t="shared" si="0"/>
        <v>325282.95</v>
      </c>
      <c r="M204" s="322"/>
      <c r="N204" s="266"/>
    </row>
    <row r="205" spans="1:14" s="3" customFormat="1" ht="12.2" customHeight="1" x14ac:dyDescent="0.15">
      <c r="A205" s="1" t="s">
        <v>445</v>
      </c>
      <c r="B205" s="2" t="s">
        <v>341</v>
      </c>
      <c r="C205" s="2" t="s">
        <v>297</v>
      </c>
      <c r="D205" s="2" t="s">
        <v>431</v>
      </c>
      <c r="E205" s="6">
        <v>2400</v>
      </c>
      <c r="F205" s="18">
        <f>432950.15+2171.4+200109.02+28522.52</f>
        <v>663753.09000000008</v>
      </c>
      <c r="G205" s="18">
        <f>193610.44+10253.24+1710+22772.18+75073.13+47007.92+10586.94+5363.75</f>
        <v>366377.6</v>
      </c>
      <c r="H205" s="18">
        <f>320+47092.75+259+73.38+979.79+90</f>
        <v>48814.92</v>
      </c>
      <c r="I205" s="18">
        <f>5778.63+244.3+671.39</f>
        <v>6694.3200000000006</v>
      </c>
      <c r="J205" s="18">
        <f>2689.51+369.99+1082.56</f>
        <v>4142.0599999999995</v>
      </c>
      <c r="K205" s="18">
        <f>4021</f>
        <v>4021</v>
      </c>
      <c r="L205" s="19">
        <f t="shared" si="0"/>
        <v>1093802.9900000002</v>
      </c>
      <c r="M205" s="8"/>
      <c r="N205" s="266"/>
    </row>
    <row r="206" spans="1:14" s="3" customFormat="1" ht="12.2" customHeight="1" x14ac:dyDescent="0.15">
      <c r="A206" s="1" t="s">
        <v>446</v>
      </c>
      <c r="B206" s="2" t="s">
        <v>341</v>
      </c>
      <c r="C206" s="2" t="s">
        <v>298</v>
      </c>
      <c r="D206" s="2" t="s">
        <v>431</v>
      </c>
      <c r="E206" s="6">
        <v>2500</v>
      </c>
      <c r="F206" s="18">
        <f>169727.89-0.01</f>
        <v>169727.88</v>
      </c>
      <c r="G206" s="18">
        <v>148984</v>
      </c>
      <c r="H206" s="18">
        <v>145531.57999999999</v>
      </c>
      <c r="I206" s="18"/>
      <c r="J206" s="18">
        <v>12220.89</v>
      </c>
      <c r="K206" s="18">
        <v>116</v>
      </c>
      <c r="L206" s="19">
        <f t="shared" si="0"/>
        <v>476580.35</v>
      </c>
      <c r="M206" s="322"/>
      <c r="N206" s="266"/>
    </row>
    <row r="207" spans="1:14" s="3" customFormat="1" ht="12.2" customHeight="1" x14ac:dyDescent="0.15">
      <c r="A207" s="1" t="s">
        <v>447</v>
      </c>
      <c r="B207" s="2" t="s">
        <v>341</v>
      </c>
      <c r="C207" s="2" t="s">
        <v>299</v>
      </c>
      <c r="D207" s="2" t="s">
        <v>431</v>
      </c>
      <c r="E207" s="6">
        <v>2600</v>
      </c>
      <c r="F207" s="18">
        <f>305267.04+829.06+218812.05</f>
        <v>524908.14999999991</v>
      </c>
      <c r="G207" s="18">
        <f>93646.83+4368.6+31798.35+22398.27+104963.65</f>
        <v>257175.69999999998</v>
      </c>
      <c r="H207" s="18">
        <f>23360.4+13445.77+15682.64+117978.54+20885.43+32002.69+28834.59</f>
        <v>252190.05999999997</v>
      </c>
      <c r="I207" s="18">
        <f>38987.23+1084.67+104160.66+68045.56+63672.38+28271.29</f>
        <v>304221.78999999998</v>
      </c>
      <c r="J207" s="18">
        <f>108+222.71</f>
        <v>330.71000000000004</v>
      </c>
      <c r="K207" s="18"/>
      <c r="L207" s="19">
        <f t="shared" si="0"/>
        <v>1338826.4099999997</v>
      </c>
      <c r="M207" s="8"/>
      <c r="N207" s="266"/>
    </row>
    <row r="208" spans="1:14" s="3" customFormat="1" ht="12.2" customHeight="1" x14ac:dyDescent="0.15">
      <c r="A208" s="1" t="s">
        <v>448</v>
      </c>
      <c r="B208" s="2" t="s">
        <v>341</v>
      </c>
      <c r="C208" s="2" t="s">
        <v>300</v>
      </c>
      <c r="D208" s="2" t="s">
        <v>431</v>
      </c>
      <c r="E208" s="6">
        <v>2700</v>
      </c>
      <c r="F208" s="18">
        <v>48423.5</v>
      </c>
      <c r="G208" s="18">
        <v>3760.34</v>
      </c>
      <c r="H208" s="18">
        <v>973352.9</v>
      </c>
      <c r="I208" s="18">
        <v>1333.47</v>
      </c>
      <c r="J208" s="18"/>
      <c r="K208" s="18"/>
      <c r="L208" s="19">
        <f t="shared" si="0"/>
        <v>1026870.21</v>
      </c>
      <c r="M208" s="8"/>
      <c r="N208" s="266"/>
    </row>
    <row r="209" spans="1:14" s="3" customFormat="1" ht="12.2" customHeight="1" x14ac:dyDescent="0.15">
      <c r="A209" s="1" t="s">
        <v>449</v>
      </c>
      <c r="B209" s="2" t="s">
        <v>341</v>
      </c>
      <c r="C209" s="2" t="s">
        <v>343</v>
      </c>
      <c r="D209" s="2" t="s">
        <v>431</v>
      </c>
      <c r="E209" s="6">
        <v>2800</v>
      </c>
      <c r="F209" s="18">
        <v>237099.7</v>
      </c>
      <c r="G209" s="18">
        <v>73626.17</v>
      </c>
      <c r="H209" s="18">
        <v>297067.15999999997</v>
      </c>
      <c r="I209" s="18">
        <v>77253.78</v>
      </c>
      <c r="J209" s="18">
        <v>149596.16</v>
      </c>
      <c r="K209" s="18"/>
      <c r="L209" s="19">
        <f>SUM(F209:K209)</f>
        <v>834642.97000000009</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9224013.0399999991</v>
      </c>
      <c r="G211" s="41">
        <f t="shared" si="1"/>
        <v>3356941.7500000005</v>
      </c>
      <c r="H211" s="41">
        <f t="shared" si="1"/>
        <v>3739790.62</v>
      </c>
      <c r="I211" s="41">
        <f t="shared" si="1"/>
        <v>563525.13</v>
      </c>
      <c r="J211" s="41">
        <f t="shared" si="1"/>
        <v>196889.82</v>
      </c>
      <c r="K211" s="41">
        <f t="shared" si="1"/>
        <v>40557.759999999995</v>
      </c>
      <c r="L211" s="41">
        <f t="shared" si="1"/>
        <v>17121718.119999997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960500.54+300316.07</f>
        <v>1260816.6100000001</v>
      </c>
      <c r="G215" s="18">
        <f>266449.44+1910.75</f>
        <v>268360.19</v>
      </c>
      <c r="H215" s="18">
        <f>2628.81+16896.7</f>
        <v>19525.510000000002</v>
      </c>
      <c r="I215" s="18">
        <f>44800.37</f>
        <v>44800.37</v>
      </c>
      <c r="J215" s="18">
        <f>12733.79+3244.08</f>
        <v>15977.87</v>
      </c>
      <c r="K215" s="18">
        <f>252.8+3859.05</f>
        <v>4111.8500000000004</v>
      </c>
      <c r="L215" s="19">
        <f>SUM(F215:K215)</f>
        <v>1613592.4000000004</v>
      </c>
      <c r="M215" s="8"/>
      <c r="N215" s="266"/>
    </row>
    <row r="216" spans="1:14" s="3" customFormat="1" ht="12.2" customHeight="1" x14ac:dyDescent="0.15">
      <c r="A216" s="1" t="s">
        <v>439</v>
      </c>
      <c r="B216" s="2" t="s">
        <v>346</v>
      </c>
      <c r="C216" s="2" t="s">
        <v>291</v>
      </c>
      <c r="D216" s="2" t="s">
        <v>431</v>
      </c>
      <c r="E216" s="6">
        <v>1200</v>
      </c>
      <c r="F216" s="18">
        <f>292009.05+53039.71</f>
        <v>345048.76</v>
      </c>
      <c r="G216" s="18">
        <f>162154.05+19420.16</f>
        <v>181574.21</v>
      </c>
      <c r="H216" s="18">
        <f>1399.03+395535.43</f>
        <v>396934.46</v>
      </c>
      <c r="I216" s="18">
        <f>1566.66+1541.52</f>
        <v>3108.1800000000003</v>
      </c>
      <c r="J216" s="18">
        <f>465.4</f>
        <v>465.4</v>
      </c>
      <c r="K216" s="18">
        <f>656.29</f>
        <v>656.29</v>
      </c>
      <c r="L216" s="19">
        <f>SUM(F216:K216)</f>
        <v>927787.3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62252.11</f>
        <v>62252.11</v>
      </c>
      <c r="G218" s="18">
        <f>13937.87</f>
        <v>13937.87</v>
      </c>
      <c r="H218" s="18">
        <f>15470.82</f>
        <v>15470.82</v>
      </c>
      <c r="I218" s="18">
        <f>8029.36</f>
        <v>8029.36</v>
      </c>
      <c r="J218" s="18">
        <f>2024.1</f>
        <v>2024.1</v>
      </c>
      <c r="K218" s="18">
        <f>3445.36</f>
        <v>3445.36</v>
      </c>
      <c r="L218" s="19">
        <f>SUM(F218:K218)</f>
        <v>105159.62</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95632.62+72805.73</f>
        <v>168438.34999999998</v>
      </c>
      <c r="G220" s="18">
        <f>30926.06+36501.19</f>
        <v>67427.25</v>
      </c>
      <c r="H220" s="18">
        <f>2583.92+416.98</f>
        <v>3000.9</v>
      </c>
      <c r="I220" s="18">
        <f>5343.23+703.42</f>
        <v>6046.65</v>
      </c>
      <c r="J220" s="18">
        <f>285.44</f>
        <v>285.44</v>
      </c>
      <c r="K220" s="18">
        <f>2622.2</f>
        <v>2622.2</v>
      </c>
      <c r="L220" s="19">
        <f t="shared" ref="L220:L226" si="2">SUM(F220:K220)</f>
        <v>247820.78999999998</v>
      </c>
      <c r="M220" s="8"/>
      <c r="N220" s="266"/>
    </row>
    <row r="221" spans="1:14" s="3" customFormat="1" ht="12.2" customHeight="1" x14ac:dyDescent="0.15">
      <c r="A221" s="1" t="s">
        <v>443</v>
      </c>
      <c r="B221" s="2" t="s">
        <v>346</v>
      </c>
      <c r="C221" s="2" t="s">
        <v>295</v>
      </c>
      <c r="D221" s="2" t="s">
        <v>431</v>
      </c>
      <c r="E221" s="6">
        <v>2200</v>
      </c>
      <c r="F221" s="18">
        <f>23802.38+20217.84</f>
        <v>44020.22</v>
      </c>
      <c r="G221" s="18">
        <f>10968.96+7923.72</f>
        <v>18892.68</v>
      </c>
      <c r="H221" s="18">
        <f>1844.03+5238.34</f>
        <v>7082.37</v>
      </c>
      <c r="I221" s="18">
        <f>8509.46+3169.04</f>
        <v>11678.5</v>
      </c>
      <c r="J221" s="18">
        <f>904.97</f>
        <v>904.97</v>
      </c>
      <c r="K221" s="18">
        <f>192.83</f>
        <v>192.83</v>
      </c>
      <c r="L221" s="19">
        <f t="shared" si="2"/>
        <v>82771.570000000007</v>
      </c>
      <c r="M221" s="8"/>
      <c r="N221" s="266"/>
    </row>
    <row r="222" spans="1:14" s="3" customFormat="1" ht="12.2" customHeight="1" x14ac:dyDescent="0.15">
      <c r="A222" s="1" t="s">
        <v>444</v>
      </c>
      <c r="B222" s="2" t="s">
        <v>346</v>
      </c>
      <c r="C222" s="2" t="s">
        <v>296</v>
      </c>
      <c r="D222" s="2" t="s">
        <v>431</v>
      </c>
      <c r="E222" s="6">
        <v>2300</v>
      </c>
      <c r="F222" s="18">
        <v>25943.75</v>
      </c>
      <c r="G222" s="18">
        <v>9931.83</v>
      </c>
      <c r="H222" s="18">
        <v>31066.18</v>
      </c>
      <c r="I222" s="18">
        <v>2351.61</v>
      </c>
      <c r="J222" s="18">
        <v>159.77000000000001</v>
      </c>
      <c r="K222" s="18">
        <v>4362.76</v>
      </c>
      <c r="L222" s="19">
        <f t="shared" si="2"/>
        <v>73815.900000000009</v>
      </c>
      <c r="M222" s="8"/>
      <c r="N222" s="266"/>
    </row>
    <row r="223" spans="1:14" s="3" customFormat="1" ht="12.2" customHeight="1" x14ac:dyDescent="0.15">
      <c r="A223" s="1" t="s">
        <v>445</v>
      </c>
      <c r="B223" s="2" t="s">
        <v>346</v>
      </c>
      <c r="C223" s="2" t="s">
        <v>297</v>
      </c>
      <c r="D223" s="2" t="s">
        <v>431</v>
      </c>
      <c r="E223" s="6">
        <v>2400</v>
      </c>
      <c r="F223" s="18">
        <f>121539.31+6392.98</f>
        <v>127932.29</v>
      </c>
      <c r="G223" s="18">
        <f>75753.9+1202.22</f>
        <v>76956.12</v>
      </c>
      <c r="H223" s="18">
        <f>19333.56</f>
        <v>19333.560000000001</v>
      </c>
      <c r="I223" s="18">
        <f>471.77+150.48</f>
        <v>622.25</v>
      </c>
      <c r="J223" s="18">
        <f>662.86</f>
        <v>662.86</v>
      </c>
      <c r="K223" s="18">
        <f>570.56</f>
        <v>570.55999999999995</v>
      </c>
      <c r="L223" s="19">
        <f t="shared" si="2"/>
        <v>226077.63999999996</v>
      </c>
      <c r="M223" s="322" t="s">
        <v>1610</v>
      </c>
      <c r="N223" s="266"/>
    </row>
    <row r="224" spans="1:14" s="3" customFormat="1" ht="12.2" customHeight="1" x14ac:dyDescent="0.15">
      <c r="A224" s="1" t="s">
        <v>446</v>
      </c>
      <c r="B224" s="2" t="s">
        <v>346</v>
      </c>
      <c r="C224" s="2" t="s">
        <v>298</v>
      </c>
      <c r="D224" s="2" t="s">
        <v>431</v>
      </c>
      <c r="E224" s="6">
        <v>2500</v>
      </c>
      <c r="F224" s="18">
        <f>38042.46-0.01</f>
        <v>38042.449999999997</v>
      </c>
      <c r="G224" s="18">
        <f>33392.96</f>
        <v>33392.959999999999</v>
      </c>
      <c r="H224" s="18">
        <f>32619.15</f>
        <v>32619.15</v>
      </c>
      <c r="I224" s="18"/>
      <c r="J224" s="18">
        <f>2739.17</f>
        <v>2739.17</v>
      </c>
      <c r="K224" s="18">
        <f>26</f>
        <v>26</v>
      </c>
      <c r="L224" s="19">
        <f t="shared" si="2"/>
        <v>106819.73</v>
      </c>
      <c r="M224" s="322"/>
      <c r="N224" s="266"/>
    </row>
    <row r="225" spans="1:14" s="3" customFormat="1" ht="12.2" customHeight="1" x14ac:dyDescent="0.15">
      <c r="A225" s="1" t="s">
        <v>447</v>
      </c>
      <c r="B225" s="2" t="s">
        <v>346</v>
      </c>
      <c r="C225" s="2" t="s">
        <v>299</v>
      </c>
      <c r="D225" s="2" t="s">
        <v>431</v>
      </c>
      <c r="E225" s="6">
        <v>2600</v>
      </c>
      <c r="F225" s="18">
        <f>88900.19+49044.08</f>
        <v>137944.27000000002</v>
      </c>
      <c r="G225" s="18">
        <f>46796.36+23526.34</f>
        <v>70322.7</v>
      </c>
      <c r="H225" s="18">
        <f>42286.47+6462.93</f>
        <v>48749.4</v>
      </c>
      <c r="I225" s="18">
        <f>70530.58+6336.67</f>
        <v>76867.25</v>
      </c>
      <c r="J225" s="18">
        <f>6299.21+49.92</f>
        <v>6349.13</v>
      </c>
      <c r="K225" s="18"/>
      <c r="L225" s="19">
        <f t="shared" si="2"/>
        <v>340232.75</v>
      </c>
      <c r="M225" s="8"/>
      <c r="N225" s="266"/>
    </row>
    <row r="226" spans="1:14" s="3" customFormat="1" ht="12.2" customHeight="1" x14ac:dyDescent="0.15">
      <c r="A226" s="1" t="s">
        <v>448</v>
      </c>
      <c r="B226" s="2" t="s">
        <v>346</v>
      </c>
      <c r="C226" s="2" t="s">
        <v>300</v>
      </c>
      <c r="D226" s="2" t="s">
        <v>431</v>
      </c>
      <c r="E226" s="6">
        <v>2700</v>
      </c>
      <c r="F226" s="18">
        <v>10853.54</v>
      </c>
      <c r="G226" s="18">
        <v>842.84</v>
      </c>
      <c r="H226" s="18">
        <v>255343.95</v>
      </c>
      <c r="I226" s="18">
        <v>298.88</v>
      </c>
      <c r="J226" s="18"/>
      <c r="K226" s="18"/>
      <c r="L226" s="19">
        <f t="shared" si="2"/>
        <v>267339.21000000002</v>
      </c>
      <c r="M226" s="8"/>
      <c r="N226" s="266"/>
    </row>
    <row r="227" spans="1:14" s="3" customFormat="1" ht="12.2" customHeight="1" x14ac:dyDescent="0.15">
      <c r="A227" s="1" t="s">
        <v>449</v>
      </c>
      <c r="B227" s="2" t="s">
        <v>346</v>
      </c>
      <c r="C227" s="2" t="s">
        <v>343</v>
      </c>
      <c r="D227" s="2" t="s">
        <v>431</v>
      </c>
      <c r="E227" s="6">
        <v>2800</v>
      </c>
      <c r="F227" s="18">
        <f>53143.04-0.01</f>
        <v>53143.03</v>
      </c>
      <c r="G227" s="18">
        <v>16502.419999999998</v>
      </c>
      <c r="H227" s="18">
        <v>52986.080000000002</v>
      </c>
      <c r="I227" s="18">
        <v>17315.5</v>
      </c>
      <c r="J227" s="18">
        <v>33530.17</v>
      </c>
      <c r="K227" s="18"/>
      <c r="L227" s="19">
        <f>SUM(F227:K227)</f>
        <v>173477.2</v>
      </c>
      <c r="M227" s="322"/>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2274435.38</v>
      </c>
      <c r="G229" s="41">
        <f>SUM(G215:G228)</f>
        <v>758141.07</v>
      </c>
      <c r="H229" s="41">
        <f>SUM(H215:H228)</f>
        <v>882112.38</v>
      </c>
      <c r="I229" s="41">
        <f>SUM(I215:I228)</f>
        <v>171118.55</v>
      </c>
      <c r="J229" s="41">
        <f>SUM(J215:J228)</f>
        <v>63098.880000000005</v>
      </c>
      <c r="K229" s="41">
        <f t="shared" si="3"/>
        <v>15987.85</v>
      </c>
      <c r="L229" s="41">
        <f t="shared" si="3"/>
        <v>4164894.1100000003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2041063.66+669935.86</f>
        <v>2710999.52</v>
      </c>
      <c r="G233" s="18">
        <f>566205.06+4262.45</f>
        <v>570467.51</v>
      </c>
      <c r="H233" s="18">
        <f>5586.22+37692.64</f>
        <v>43278.86</v>
      </c>
      <c r="I233" s="18">
        <f>95200.78</f>
        <v>95200.78</v>
      </c>
      <c r="J233" s="18">
        <f>27059.31+7236.79</f>
        <v>34296.1</v>
      </c>
      <c r="K233" s="18">
        <f>537.2+8608.65</f>
        <v>9145.85</v>
      </c>
      <c r="L233" s="19">
        <f>SUM(F233:K233)</f>
        <v>3463388.62</v>
      </c>
      <c r="M233" s="8"/>
      <c r="N233" s="266"/>
    </row>
    <row r="234" spans="1:14" s="3" customFormat="1" ht="12.2" customHeight="1" x14ac:dyDescent="0.15">
      <c r="A234" s="1" t="s">
        <v>439</v>
      </c>
      <c r="B234" s="2" t="s">
        <v>350</v>
      </c>
      <c r="C234" s="2" t="s">
        <v>291</v>
      </c>
      <c r="D234" s="2" t="s">
        <v>431</v>
      </c>
      <c r="E234" s="6">
        <v>1200</v>
      </c>
      <c r="F234" s="18">
        <f>620519.23+118319.35</f>
        <v>738838.58</v>
      </c>
      <c r="G234" s="18">
        <f>344577.37+43321.9</f>
        <v>387899.27</v>
      </c>
      <c r="H234" s="18">
        <f>2972.93+882348.27</f>
        <v>885321.20000000007</v>
      </c>
      <c r="I234" s="18">
        <f>3329.14+3438.79</f>
        <v>6767.93</v>
      </c>
      <c r="J234" s="18">
        <f>1038.19</f>
        <v>1038.19</v>
      </c>
      <c r="K234" s="18">
        <f>1464.04</f>
        <v>1464.04</v>
      </c>
      <c r="L234" s="19">
        <f>SUM(F234:K234)</f>
        <v>2021329.2100000002</v>
      </c>
      <c r="M234" s="8"/>
      <c r="N234" s="266"/>
    </row>
    <row r="235" spans="1:14" s="3" customFormat="1" ht="12.2" customHeight="1" x14ac:dyDescent="0.15">
      <c r="A235" s="1" t="s">
        <v>440</v>
      </c>
      <c r="B235" s="2" t="s">
        <v>350</v>
      </c>
      <c r="C235" s="2" t="s">
        <v>292</v>
      </c>
      <c r="D235" s="2" t="s">
        <v>431</v>
      </c>
      <c r="E235" s="6">
        <v>1300</v>
      </c>
      <c r="F235" s="18"/>
      <c r="G235" s="18"/>
      <c r="H235" s="18">
        <v>38524.080000000002</v>
      </c>
      <c r="I235" s="18"/>
      <c r="J235" s="18"/>
      <c r="K235" s="18"/>
      <c r="L235" s="19">
        <f>SUM(F235:K235)</f>
        <v>38524.080000000002</v>
      </c>
      <c r="M235" s="8"/>
      <c r="N235" s="266"/>
    </row>
    <row r="236" spans="1:14" s="3" customFormat="1" ht="12.2" customHeight="1" x14ac:dyDescent="0.15">
      <c r="A236" s="1" t="s">
        <v>441</v>
      </c>
      <c r="B236" s="2" t="s">
        <v>350</v>
      </c>
      <c r="C236" s="2" t="s">
        <v>293</v>
      </c>
      <c r="D236" s="2" t="s">
        <v>431</v>
      </c>
      <c r="E236" s="6">
        <v>1400</v>
      </c>
      <c r="F236" s="18">
        <f>132285.72</f>
        <v>132285.72</v>
      </c>
      <c r="G236" s="18">
        <f>29617.97</f>
        <v>29617.97</v>
      </c>
      <c r="H236" s="18">
        <f>32875.5</f>
        <v>32875.5</v>
      </c>
      <c r="I236" s="18">
        <f>17062.39</f>
        <v>17062.39</v>
      </c>
      <c r="J236" s="18">
        <f>4301.22</f>
        <v>4301.22</v>
      </c>
      <c r="K236" s="18">
        <f>7321.39</f>
        <v>7321.39</v>
      </c>
      <c r="L236" s="19">
        <f>SUM(F236:K236)</f>
        <v>223464.19000000003</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203219.33+162412.78</f>
        <v>365632.11</v>
      </c>
      <c r="G238" s="18">
        <f>65717.89+81425.72</f>
        <v>147143.60999999999</v>
      </c>
      <c r="H238" s="18">
        <f>5490.84+930.19</f>
        <v>6421.0300000000007</v>
      </c>
      <c r="I238" s="18">
        <f>11354.37+1569.17</f>
        <v>12923.54</v>
      </c>
      <c r="J238" s="18">
        <f>606.55</f>
        <v>606.54999999999995</v>
      </c>
      <c r="K238" s="18">
        <f>5572.16</f>
        <v>5572.16</v>
      </c>
      <c r="L238" s="19">
        <f t="shared" ref="L238:L244" si="4">SUM(F238:K238)</f>
        <v>538299.00000000012</v>
      </c>
      <c r="M238" s="8"/>
      <c r="N238" s="266"/>
    </row>
    <row r="239" spans="1:14" s="3" customFormat="1" ht="12.2" customHeight="1" x14ac:dyDescent="0.15">
      <c r="A239" s="1" t="s">
        <v>443</v>
      </c>
      <c r="B239" s="2" t="s">
        <v>350</v>
      </c>
      <c r="C239" s="2" t="s">
        <v>295</v>
      </c>
      <c r="D239" s="2" t="s">
        <v>431</v>
      </c>
      <c r="E239" s="6">
        <v>2200</v>
      </c>
      <c r="F239" s="18">
        <f>50580.05+45101.33</f>
        <v>95681.38</v>
      </c>
      <c r="G239" s="18">
        <f>23309.04+17675.99</f>
        <v>40985.03</v>
      </c>
      <c r="H239" s="18">
        <f>3918.55+11685.52</f>
        <v>15604.07</v>
      </c>
      <c r="I239" s="18">
        <f>18082.59+7069.4</f>
        <v>25151.989999999998</v>
      </c>
      <c r="J239" s="18">
        <f>1923.06</f>
        <v>1923.06</v>
      </c>
      <c r="K239" s="18">
        <f>430.15</f>
        <v>430.15</v>
      </c>
      <c r="L239" s="19">
        <f t="shared" si="4"/>
        <v>179775.68</v>
      </c>
      <c r="M239" s="8"/>
      <c r="N239" s="266"/>
    </row>
    <row r="240" spans="1:14" s="3" customFormat="1" ht="12.2" customHeight="1" x14ac:dyDescent="0.15">
      <c r="A240" s="1" t="s">
        <v>444</v>
      </c>
      <c r="B240" s="2" t="s">
        <v>350</v>
      </c>
      <c r="C240" s="2" t="s">
        <v>296</v>
      </c>
      <c r="D240" s="2" t="s">
        <v>431</v>
      </c>
      <c r="E240" s="6">
        <v>2300</v>
      </c>
      <c r="F240" s="18">
        <v>57874.51</v>
      </c>
      <c r="G240" s="18">
        <v>22155.61</v>
      </c>
      <c r="H240" s="18">
        <v>69301.490000000005</v>
      </c>
      <c r="I240" s="18">
        <v>5245.91</v>
      </c>
      <c r="J240" s="18">
        <v>356.41</v>
      </c>
      <c r="K240" s="18">
        <v>9307.2199999999993</v>
      </c>
      <c r="L240" s="19">
        <f t="shared" si="4"/>
        <v>164241.15</v>
      </c>
      <c r="M240" s="322"/>
      <c r="N240" s="266"/>
    </row>
    <row r="241" spans="1:14" s="3" customFormat="1" ht="12.2" customHeight="1" x14ac:dyDescent="0.15">
      <c r="A241" s="1" t="s">
        <v>445</v>
      </c>
      <c r="B241" s="2" t="s">
        <v>350</v>
      </c>
      <c r="C241" s="2" t="s">
        <v>297</v>
      </c>
      <c r="D241" s="2" t="s">
        <v>431</v>
      </c>
      <c r="E241" s="6">
        <v>2400</v>
      </c>
      <c r="F241" s="18">
        <f>258271.04+14261.26</f>
        <v>272532.3</v>
      </c>
      <c r="G241" s="18">
        <f>160977.04+2681.88</f>
        <v>163658.92000000001</v>
      </c>
      <c r="H241" s="18">
        <f>41083.83</f>
        <v>41083.83</v>
      </c>
      <c r="I241" s="18">
        <f>1002.51+335.7</f>
        <v>1338.21</v>
      </c>
      <c r="J241" s="18">
        <f>1408.58</f>
        <v>1408.58</v>
      </c>
      <c r="K241" s="18">
        <f>1212.44</f>
        <v>1212.44</v>
      </c>
      <c r="L241" s="19">
        <f t="shared" si="4"/>
        <v>481234.28</v>
      </c>
      <c r="M241" s="322"/>
      <c r="N241" s="266"/>
    </row>
    <row r="242" spans="1:14" s="3" customFormat="1" ht="12.2" customHeight="1" x14ac:dyDescent="0.15">
      <c r="A242" s="1" t="s">
        <v>446</v>
      </c>
      <c r="B242" s="2" t="s">
        <v>350</v>
      </c>
      <c r="C242" s="2" t="s">
        <v>298</v>
      </c>
      <c r="D242" s="2" t="s">
        <v>431</v>
      </c>
      <c r="E242" s="6">
        <v>2500</v>
      </c>
      <c r="F242" s="18">
        <v>84863.94</v>
      </c>
      <c r="G242" s="18">
        <v>74492</v>
      </c>
      <c r="H242" s="18">
        <v>72765.789999999994</v>
      </c>
      <c r="I242" s="18"/>
      <c r="J242" s="18">
        <v>6110.45</v>
      </c>
      <c r="K242" s="18">
        <v>58</v>
      </c>
      <c r="L242" s="19">
        <f t="shared" si="4"/>
        <v>238290.18</v>
      </c>
      <c r="M242" s="8"/>
      <c r="N242" s="266"/>
    </row>
    <row r="243" spans="1:14" s="3" customFormat="1" ht="12.2" customHeight="1" x14ac:dyDescent="0.15">
      <c r="A243" s="1" t="s">
        <v>447</v>
      </c>
      <c r="B243" s="2" t="s">
        <v>350</v>
      </c>
      <c r="C243" s="2" t="s">
        <v>299</v>
      </c>
      <c r="D243" s="2" t="s">
        <v>431</v>
      </c>
      <c r="E243" s="6">
        <v>2600</v>
      </c>
      <c r="F243" s="18">
        <f>188912.91+109406.03</f>
        <v>298318.94</v>
      </c>
      <c r="G243" s="18">
        <f>99442.28+52481.82</f>
        <v>151924.1</v>
      </c>
      <c r="H243" s="18">
        <f>89858.74+14417.29</f>
        <v>104276.03</v>
      </c>
      <c r="I243" s="18">
        <f>149877.49+14135.64</f>
        <v>164013.13</v>
      </c>
      <c r="J243" s="18">
        <f>13385.83+111.35</f>
        <v>13497.18</v>
      </c>
      <c r="K243" s="18"/>
      <c r="L243" s="19">
        <f t="shared" si="4"/>
        <v>732029.38000000012</v>
      </c>
      <c r="M243" s="8"/>
      <c r="N243" s="266"/>
    </row>
    <row r="244" spans="1:14" s="3" customFormat="1" ht="12.2" customHeight="1" x14ac:dyDescent="0.15">
      <c r="A244" s="1" t="s">
        <v>448</v>
      </c>
      <c r="B244" s="2" t="s">
        <v>350</v>
      </c>
      <c r="C244" s="2" t="s">
        <v>300</v>
      </c>
      <c r="D244" s="2" t="s">
        <v>431</v>
      </c>
      <c r="E244" s="6">
        <v>2700</v>
      </c>
      <c r="F244" s="18">
        <v>24211.75</v>
      </c>
      <c r="G244" s="18">
        <v>1880.17</v>
      </c>
      <c r="H244" s="18">
        <v>587335.97</v>
      </c>
      <c r="I244" s="18">
        <v>666.73</v>
      </c>
      <c r="J244" s="18"/>
      <c r="K244" s="18"/>
      <c r="L244" s="19">
        <f t="shared" si="4"/>
        <v>614094.62</v>
      </c>
      <c r="M244" s="8"/>
      <c r="N244" s="266"/>
    </row>
    <row r="245" spans="1:14" s="3" customFormat="1" ht="12.2" customHeight="1" x14ac:dyDescent="0.15">
      <c r="A245" s="1" t="s">
        <v>449</v>
      </c>
      <c r="B245" s="2" t="s">
        <v>350</v>
      </c>
      <c r="C245" s="2" t="s">
        <v>343</v>
      </c>
      <c r="D245" s="2" t="s">
        <v>431</v>
      </c>
      <c r="E245" s="6">
        <v>2800</v>
      </c>
      <c r="F245" s="18">
        <v>118549.85</v>
      </c>
      <c r="G245" s="18">
        <v>36813.08</v>
      </c>
      <c r="H245" s="18">
        <v>117768.39</v>
      </c>
      <c r="I245" s="18">
        <v>38626.89</v>
      </c>
      <c r="J245" s="18">
        <v>74798.080000000002</v>
      </c>
      <c r="K245" s="18"/>
      <c r="L245" s="19">
        <f>SUM(F245:K245)</f>
        <v>386556.29000000004</v>
      </c>
      <c r="M245" s="322"/>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4899788.6000000006</v>
      </c>
      <c r="G247" s="41">
        <f t="shared" si="5"/>
        <v>1627037.27</v>
      </c>
      <c r="H247" s="41">
        <f t="shared" si="5"/>
        <v>2014556.24</v>
      </c>
      <c r="I247" s="41">
        <f t="shared" si="5"/>
        <v>366997.5</v>
      </c>
      <c r="J247" s="41">
        <f t="shared" si="5"/>
        <v>138335.82</v>
      </c>
      <c r="K247" s="41">
        <f t="shared" si="5"/>
        <v>34511.25</v>
      </c>
      <c r="L247" s="41">
        <f t="shared" si="5"/>
        <v>9081226.6799999997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16398237.02</v>
      </c>
      <c r="G257" s="41">
        <f t="shared" si="8"/>
        <v>5742120.0899999999</v>
      </c>
      <c r="H257" s="41">
        <f t="shared" si="8"/>
        <v>6636459.2400000002</v>
      </c>
      <c r="I257" s="41">
        <f t="shared" si="8"/>
        <v>1101641.18</v>
      </c>
      <c r="J257" s="41">
        <f t="shared" si="8"/>
        <v>398324.52</v>
      </c>
      <c r="K257" s="41">
        <f t="shared" si="8"/>
        <v>91056.859999999986</v>
      </c>
      <c r="L257" s="41">
        <f t="shared" si="8"/>
        <v>30367838.909999996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1766792</v>
      </c>
      <c r="L265" s="19">
        <f t="shared" si="9"/>
        <v>1766792</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1766792</v>
      </c>
      <c r="L270" s="41">
        <f t="shared" si="9"/>
        <v>1766792</v>
      </c>
      <c r="N270" s="264"/>
    </row>
    <row r="271" spans="1:14" s="3" customFormat="1" ht="12.2" customHeight="1" thickTop="1" x14ac:dyDescent="0.2">
      <c r="A271" s="43" t="s">
        <v>464</v>
      </c>
      <c r="B271" s="40">
        <v>10</v>
      </c>
      <c r="C271" s="40">
        <v>18</v>
      </c>
      <c r="D271" s="39" t="s">
        <v>431</v>
      </c>
      <c r="E271" s="40"/>
      <c r="F271" s="42">
        <f t="shared" ref="F271:L271" si="11">F257+F270</f>
        <v>16398237.02</v>
      </c>
      <c r="G271" s="42">
        <f t="shared" si="11"/>
        <v>5742120.0899999999</v>
      </c>
      <c r="H271" s="42">
        <f t="shared" si="11"/>
        <v>6636459.2400000002</v>
      </c>
      <c r="I271" s="42">
        <f t="shared" si="11"/>
        <v>1101641.18</v>
      </c>
      <c r="J271" s="42">
        <f t="shared" si="11"/>
        <v>398324.52</v>
      </c>
      <c r="K271" s="42">
        <f t="shared" si="11"/>
        <v>1857848.8599999999</v>
      </c>
      <c r="L271" s="42">
        <f t="shared" si="11"/>
        <v>32134630.909999996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125939.25</v>
      </c>
      <c r="G276" s="18">
        <v>57657.06</v>
      </c>
      <c r="H276" s="18"/>
      <c r="I276" s="18">
        <v>10517.86</v>
      </c>
      <c r="J276" s="18">
        <v>17186</v>
      </c>
      <c r="K276" s="18"/>
      <c r="L276" s="19">
        <f>SUM(F276:K276)</f>
        <v>211300.16999999998</v>
      </c>
      <c r="M276" s="8"/>
      <c r="N276" s="266"/>
    </row>
    <row r="277" spans="1:14" s="3" customFormat="1" ht="12.2" customHeight="1" x14ac:dyDescent="0.15">
      <c r="A277" s="1" t="s">
        <v>439</v>
      </c>
      <c r="B277" s="2" t="s">
        <v>357</v>
      </c>
      <c r="C277" s="2" t="s">
        <v>291</v>
      </c>
      <c r="D277" s="2" t="s">
        <v>431</v>
      </c>
      <c r="E277" s="6">
        <v>1200</v>
      </c>
      <c r="F277" s="18">
        <v>29109.040000000001</v>
      </c>
      <c r="G277" s="18">
        <v>21500.73</v>
      </c>
      <c r="H277" s="18">
        <v>82019.95</v>
      </c>
      <c r="I277" s="18">
        <v>13357.37</v>
      </c>
      <c r="J277" s="18">
        <v>4610.9399999999996</v>
      </c>
      <c r="K277" s="18"/>
      <c r="L277" s="19">
        <f>SUM(F277:K277)</f>
        <v>150598.03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206148.77</v>
      </c>
      <c r="G279" s="18">
        <v>66566.58</v>
      </c>
      <c r="H279" s="18">
        <v>4964.4799999999996</v>
      </c>
      <c r="I279" s="18">
        <v>19239.95</v>
      </c>
      <c r="J279" s="18"/>
      <c r="K279" s="18"/>
      <c r="L279" s="19">
        <f>SUM(F279:K279)</f>
        <v>296919.77999999997</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11191.94</v>
      </c>
      <c r="G281" s="18">
        <v>9944.58</v>
      </c>
      <c r="H281" s="18">
        <v>783.51</v>
      </c>
      <c r="I281" s="18">
        <v>7104</v>
      </c>
      <c r="J281" s="18"/>
      <c r="K281" s="18"/>
      <c r="L281" s="19">
        <f t="shared" ref="L281:L287" si="12">SUM(F281:K281)</f>
        <v>29024.03</v>
      </c>
      <c r="M281" s="8"/>
      <c r="N281" s="266"/>
    </row>
    <row r="282" spans="1:14" s="3" customFormat="1" ht="12.2" customHeight="1" x14ac:dyDescent="0.15">
      <c r="A282" s="1" t="s">
        <v>443</v>
      </c>
      <c r="B282" s="2" t="s">
        <v>357</v>
      </c>
      <c r="C282" s="2" t="s">
        <v>295</v>
      </c>
      <c r="D282" s="2" t="s">
        <v>431</v>
      </c>
      <c r="E282" s="6">
        <v>2200</v>
      </c>
      <c r="F282" s="18">
        <f>13538.03+5188.68</f>
        <v>18726.71</v>
      </c>
      <c r="G282" s="18">
        <f>1064.62+1277.82</f>
        <v>2342.4399999999996</v>
      </c>
      <c r="H282" s="18">
        <f>20374.84+69310.78</f>
        <v>89685.62</v>
      </c>
      <c r="I282" s="18">
        <f>15933.82+7055.11</f>
        <v>22988.93</v>
      </c>
      <c r="J282" s="18">
        <v>4678.7299999999996</v>
      </c>
      <c r="K282" s="18">
        <v>785.07</v>
      </c>
      <c r="L282" s="19">
        <f t="shared" si="12"/>
        <v>139207.5</v>
      </c>
      <c r="M282" s="8"/>
      <c r="N282" s="266"/>
    </row>
    <row r="283" spans="1:14" s="3" customFormat="1" ht="12.2" customHeight="1" x14ac:dyDescent="0.15">
      <c r="A283" s="1" t="s">
        <v>444</v>
      </c>
      <c r="B283" s="2" t="s">
        <v>357</v>
      </c>
      <c r="C283" s="2" t="s">
        <v>296</v>
      </c>
      <c r="D283" s="2" t="s">
        <v>431</v>
      </c>
      <c r="E283" s="6">
        <v>2300</v>
      </c>
      <c r="F283" s="18">
        <v>51554.7</v>
      </c>
      <c r="G283" s="18">
        <v>18604.240000000002</v>
      </c>
      <c r="H283" s="18">
        <v>2882.09</v>
      </c>
      <c r="I283" s="18">
        <v>420</v>
      </c>
      <c r="J283" s="18">
        <v>59.96</v>
      </c>
      <c r="K283" s="18"/>
      <c r="L283" s="19">
        <f t="shared" si="12"/>
        <v>73520.990000000005</v>
      </c>
      <c r="M283" s="8"/>
      <c r="N283" s="266"/>
    </row>
    <row r="284" spans="1:14" s="3" customFormat="1" ht="12.2" customHeight="1" x14ac:dyDescent="0.15">
      <c r="A284" s="1" t="s">
        <v>445</v>
      </c>
      <c r="B284" s="2" t="s">
        <v>357</v>
      </c>
      <c r="C284" s="2" t="s">
        <v>297</v>
      </c>
      <c r="D284" s="2" t="s">
        <v>431</v>
      </c>
      <c r="E284" s="6">
        <v>2400</v>
      </c>
      <c r="F284" s="18">
        <v>97775.78</v>
      </c>
      <c r="G284" s="18">
        <v>52799.3</v>
      </c>
      <c r="H284" s="18">
        <v>906.18</v>
      </c>
      <c r="I284" s="18">
        <v>3530.01</v>
      </c>
      <c r="J284" s="18">
        <v>3304</v>
      </c>
      <c r="K284" s="18"/>
      <c r="L284" s="19">
        <f t="shared" si="12"/>
        <v>158315.27000000002</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28646.39</v>
      </c>
      <c r="L285" s="19">
        <f t="shared" si="12"/>
        <v>28646.39</v>
      </c>
      <c r="M285" s="8"/>
      <c r="N285" s="266"/>
    </row>
    <row r="286" spans="1:14" s="3" customFormat="1" ht="12.2" customHeight="1" x14ac:dyDescent="0.15">
      <c r="A286" s="1" t="s">
        <v>447</v>
      </c>
      <c r="B286" s="2" t="s">
        <v>357</v>
      </c>
      <c r="C286" s="2" t="s">
        <v>299</v>
      </c>
      <c r="D286" s="2" t="s">
        <v>431</v>
      </c>
      <c r="E286" s="6">
        <v>2600</v>
      </c>
      <c r="F286" s="18"/>
      <c r="G286" s="18"/>
      <c r="H286" s="18"/>
      <c r="I286" s="18"/>
      <c r="J286" s="18">
        <v>-0.48</v>
      </c>
      <c r="K286" s="18"/>
      <c r="L286" s="19">
        <f t="shared" si="12"/>
        <v>-0.48</v>
      </c>
      <c r="M286" s="8"/>
      <c r="N286" s="266"/>
    </row>
    <row r="287" spans="1:14" s="3" customFormat="1" ht="12.2" customHeight="1" x14ac:dyDescent="0.15">
      <c r="A287" s="1" t="s">
        <v>448</v>
      </c>
      <c r="B287" s="2" t="s">
        <v>357</v>
      </c>
      <c r="C287" s="2" t="s">
        <v>300</v>
      </c>
      <c r="D287" s="2" t="s">
        <v>431</v>
      </c>
      <c r="E287" s="6">
        <v>2700</v>
      </c>
      <c r="F287" s="18"/>
      <c r="G287" s="18"/>
      <c r="H287" s="18">
        <f>19998.95+2391.25</f>
        <v>22390.2</v>
      </c>
      <c r="I287" s="18"/>
      <c r="J287" s="18"/>
      <c r="K287" s="18"/>
      <c r="L287" s="19">
        <f t="shared" si="12"/>
        <v>22390.2</v>
      </c>
      <c r="M287" s="8"/>
      <c r="N287" s="266"/>
    </row>
    <row r="288" spans="1:14" s="3" customFormat="1" ht="12.2" customHeight="1" x14ac:dyDescent="0.15">
      <c r="A288" s="1" t="s">
        <v>449</v>
      </c>
      <c r="B288" s="2" t="s">
        <v>357</v>
      </c>
      <c r="C288" s="2" t="s">
        <v>343</v>
      </c>
      <c r="D288" s="2" t="s">
        <v>431</v>
      </c>
      <c r="E288" s="6">
        <v>2800</v>
      </c>
      <c r="F288" s="18"/>
      <c r="G288" s="18"/>
      <c r="H288" s="18"/>
      <c r="I288" s="18">
        <f>93.11+4303</f>
        <v>4396.1099999999997</v>
      </c>
      <c r="J288" s="18"/>
      <c r="K288" s="18"/>
      <c r="L288" s="19">
        <f>SUM(F288:K288)</f>
        <v>4396.1099999999997</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540446.19000000006</v>
      </c>
      <c r="G290" s="42">
        <f t="shared" si="13"/>
        <v>229414.93</v>
      </c>
      <c r="H290" s="42">
        <f t="shared" si="13"/>
        <v>203632.03</v>
      </c>
      <c r="I290" s="42">
        <f t="shared" si="13"/>
        <v>81554.23000000001</v>
      </c>
      <c r="J290" s="42">
        <f t="shared" si="13"/>
        <v>29839.149999999998</v>
      </c>
      <c r="K290" s="42">
        <f t="shared" si="13"/>
        <v>29431.46</v>
      </c>
      <c r="L290" s="41">
        <f t="shared" si="13"/>
        <v>1114317.99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28227.759999999998</v>
      </c>
      <c r="G295" s="18">
        <v>12923.13</v>
      </c>
      <c r="H295" s="18"/>
      <c r="I295" s="18">
        <v>2357.4499999999998</v>
      </c>
      <c r="J295" s="18">
        <v>3852.04</v>
      </c>
      <c r="K295" s="18"/>
      <c r="L295" s="19">
        <f>SUM(F295:K295)</f>
        <v>47360.38</v>
      </c>
      <c r="M295" s="8"/>
      <c r="N295" s="266"/>
    </row>
    <row r="296" spans="1:14" s="3" customFormat="1" ht="12.2" customHeight="1" x14ac:dyDescent="0.15">
      <c r="A296" s="1" t="s">
        <v>439</v>
      </c>
      <c r="B296" s="2" t="s">
        <v>358</v>
      </c>
      <c r="C296" s="2" t="s">
        <v>291</v>
      </c>
      <c r="D296" s="2" t="s">
        <v>431</v>
      </c>
      <c r="E296" s="6">
        <v>1200</v>
      </c>
      <c r="F296" s="18">
        <v>6524.44</v>
      </c>
      <c r="G296" s="18">
        <v>4819.13</v>
      </c>
      <c r="H296" s="18">
        <v>18383.78</v>
      </c>
      <c r="I296" s="18">
        <v>2993.89</v>
      </c>
      <c r="J296" s="18">
        <v>1033.49</v>
      </c>
      <c r="K296" s="18"/>
      <c r="L296" s="19">
        <f>SUM(F296:K296)</f>
        <v>33754.729999999996</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384</v>
      </c>
      <c r="G298" s="18">
        <v>97.15</v>
      </c>
      <c r="H298" s="18"/>
      <c r="I298" s="18"/>
      <c r="J298" s="18"/>
      <c r="K298" s="18"/>
      <c r="L298" s="19">
        <f>SUM(F298:K298)</f>
        <v>481.15</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1162.98</v>
      </c>
      <c r="G301" s="18">
        <v>286.41000000000003</v>
      </c>
      <c r="H301" s="18">
        <v>15535.17</v>
      </c>
      <c r="I301" s="18">
        <v>1581.32</v>
      </c>
      <c r="J301" s="18"/>
      <c r="K301" s="18">
        <v>175.96</v>
      </c>
      <c r="L301" s="19">
        <f t="shared" si="14"/>
        <v>18741.84</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v>6420.74</v>
      </c>
      <c r="L304" s="19">
        <f t="shared" si="14"/>
        <v>6420.74</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f>9640*0.32</f>
        <v>3084.8</v>
      </c>
      <c r="J307" s="18">
        <f>9800*0.32</f>
        <v>3136</v>
      </c>
      <c r="K307" s="18"/>
      <c r="L307" s="19">
        <f>SUM(F307:K307)</f>
        <v>6220.8</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36299.18</v>
      </c>
      <c r="G309" s="42">
        <f t="shared" si="15"/>
        <v>18125.82</v>
      </c>
      <c r="H309" s="42">
        <f t="shared" si="15"/>
        <v>33918.949999999997</v>
      </c>
      <c r="I309" s="42">
        <f t="shared" si="15"/>
        <v>10017.459999999999</v>
      </c>
      <c r="J309" s="42">
        <f t="shared" si="15"/>
        <v>8021.53</v>
      </c>
      <c r="K309" s="42">
        <f t="shared" si="15"/>
        <v>6596.7</v>
      </c>
      <c r="L309" s="41">
        <f t="shared" si="15"/>
        <v>112979.63999999998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62969.63</v>
      </c>
      <c r="G314" s="18">
        <v>28828.53</v>
      </c>
      <c r="H314" s="18"/>
      <c r="I314" s="18">
        <v>5258.93</v>
      </c>
      <c r="J314" s="18">
        <v>8593</v>
      </c>
      <c r="K314" s="18"/>
      <c r="L314" s="19">
        <f>SUM(F314:K314)</f>
        <v>105650.09</v>
      </c>
      <c r="M314" s="8"/>
      <c r="N314" s="266"/>
    </row>
    <row r="315" spans="1:14" s="3" customFormat="1" ht="12.2" customHeight="1" x14ac:dyDescent="0.15">
      <c r="A315" s="1" t="s">
        <v>439</v>
      </c>
      <c r="B315" s="2" t="s">
        <v>359</v>
      </c>
      <c r="C315" s="2" t="s">
        <v>291</v>
      </c>
      <c r="D315" s="2" t="s">
        <v>431</v>
      </c>
      <c r="E315" s="6">
        <v>1200</v>
      </c>
      <c r="F315" s="18">
        <v>14554.52</v>
      </c>
      <c r="G315" s="18">
        <v>10750.36</v>
      </c>
      <c r="H315" s="18">
        <v>41009.980000000003</v>
      </c>
      <c r="I315" s="18">
        <v>6678.69</v>
      </c>
      <c r="J315" s="18">
        <v>2305.4699999999998</v>
      </c>
      <c r="K315" s="18"/>
      <c r="L315" s="19">
        <f>SUM(F315:K315)</f>
        <v>75299.02</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816</v>
      </c>
      <c r="G317" s="18">
        <v>206.45</v>
      </c>
      <c r="H317" s="18"/>
      <c r="I317" s="18"/>
      <c r="J317" s="18"/>
      <c r="K317" s="18"/>
      <c r="L317" s="19">
        <f>SUM(F317:K317)</f>
        <v>1022.45</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2594.34</v>
      </c>
      <c r="G320" s="18">
        <v>638.91</v>
      </c>
      <c r="H320" s="18">
        <v>34655.39</v>
      </c>
      <c r="I320" s="18">
        <v>3527.56</v>
      </c>
      <c r="J320" s="18"/>
      <c r="K320" s="18">
        <v>392.54</v>
      </c>
      <c r="L320" s="19">
        <f t="shared" si="16"/>
        <v>41808.74</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v>14323.19</v>
      </c>
      <c r="L323" s="19">
        <f t="shared" si="16"/>
        <v>14323.19</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f>9640*0.68</f>
        <v>6555.2000000000007</v>
      </c>
      <c r="J326" s="18">
        <f>9800*0.68</f>
        <v>6664.0000000000009</v>
      </c>
      <c r="K326" s="18"/>
      <c r="L326" s="19">
        <f>SUM(F326:K326)</f>
        <v>13219.2</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80934.489999999991</v>
      </c>
      <c r="G328" s="42">
        <f t="shared" si="17"/>
        <v>40424.25</v>
      </c>
      <c r="H328" s="42">
        <f t="shared" si="17"/>
        <v>75665.37</v>
      </c>
      <c r="I328" s="42">
        <f t="shared" si="17"/>
        <v>22020.379999999997</v>
      </c>
      <c r="J328" s="42">
        <f t="shared" si="17"/>
        <v>17562.47</v>
      </c>
      <c r="K328" s="42">
        <f t="shared" si="17"/>
        <v>14715.730000000001</v>
      </c>
      <c r="L328" s="41">
        <f t="shared" si="17"/>
        <v>251322.69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v>4412</v>
      </c>
      <c r="G333" s="18">
        <f>767+338</f>
        <v>1105</v>
      </c>
      <c r="H333" s="18"/>
      <c r="I333" s="18"/>
      <c r="J333" s="18"/>
      <c r="K333" s="18"/>
      <c r="L333" s="19">
        <f t="shared" si="18"/>
        <v>5517</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4412</v>
      </c>
      <c r="G337" s="41">
        <f t="shared" si="19"/>
        <v>1105</v>
      </c>
      <c r="H337" s="41">
        <f t="shared" si="19"/>
        <v>0</v>
      </c>
      <c r="I337" s="41">
        <f t="shared" si="19"/>
        <v>0</v>
      </c>
      <c r="J337" s="41">
        <f t="shared" si="19"/>
        <v>0</v>
      </c>
      <c r="K337" s="41">
        <f t="shared" si="19"/>
        <v>0</v>
      </c>
      <c r="L337" s="41">
        <f t="shared" si="18"/>
        <v>5517</v>
      </c>
      <c r="M337" s="8"/>
      <c r="N337" s="266"/>
    </row>
    <row r="338" spans="1:43" s="3" customFormat="1" ht="12.2" customHeight="1" thickTop="1" x14ac:dyDescent="0.15">
      <c r="A338" s="38" t="s">
        <v>468</v>
      </c>
      <c r="B338" s="40">
        <v>14</v>
      </c>
      <c r="C338" s="40">
        <v>7</v>
      </c>
      <c r="D338" s="39" t="s">
        <v>431</v>
      </c>
      <c r="E338" s="40"/>
      <c r="F338" s="41">
        <f t="shared" ref="F338:L338" si="20">F290+F309+F328+F337</f>
        <v>662091.8600000001</v>
      </c>
      <c r="G338" s="41">
        <f t="shared" si="20"/>
        <v>289070</v>
      </c>
      <c r="H338" s="41">
        <f t="shared" si="20"/>
        <v>313216.34999999998</v>
      </c>
      <c r="I338" s="41">
        <f t="shared" si="20"/>
        <v>113592.07</v>
      </c>
      <c r="J338" s="41">
        <f t="shared" si="20"/>
        <v>55423.15</v>
      </c>
      <c r="K338" s="41">
        <f t="shared" si="20"/>
        <v>50743.89</v>
      </c>
      <c r="L338" s="41">
        <f t="shared" si="20"/>
        <v>1484137.3199999998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662091.8600000001</v>
      </c>
      <c r="G352" s="41">
        <f>G338</f>
        <v>289070</v>
      </c>
      <c r="H352" s="41">
        <f>H338</f>
        <v>313216.34999999998</v>
      </c>
      <c r="I352" s="41">
        <f>I338</f>
        <v>113592.07</v>
      </c>
      <c r="J352" s="41">
        <f>J338</f>
        <v>55423.15</v>
      </c>
      <c r="K352" s="47">
        <f>K338+K351</f>
        <v>50743.89</v>
      </c>
      <c r="L352" s="41">
        <f>L338+L351</f>
        <v>1484137.3199999998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198478.01</v>
      </c>
      <c r="G358" s="18">
        <v>86649.71</v>
      </c>
      <c r="H358" s="18">
        <v>6857.89</v>
      </c>
      <c r="I358" s="18">
        <f>220055.24-0.01</f>
        <v>220055.22999999998</v>
      </c>
      <c r="J358" s="18">
        <v>897.69</v>
      </c>
      <c r="K358" s="18">
        <v>869.13</v>
      </c>
      <c r="L358" s="13">
        <f>SUM(F358:K358)</f>
        <v>513807.66000000003</v>
      </c>
      <c r="N358" s="264"/>
      <c r="R358" s="3"/>
      <c r="S358" s="3"/>
      <c r="T358" s="3"/>
      <c r="U358" s="3"/>
      <c r="V358" s="3"/>
    </row>
    <row r="359" spans="1:22" s="3" customFormat="1" ht="12.2" customHeight="1" x14ac:dyDescent="0.15">
      <c r="A359" s="1" t="s">
        <v>542</v>
      </c>
      <c r="B359" s="2" t="s">
        <v>366</v>
      </c>
      <c r="C359" s="6">
        <v>2</v>
      </c>
      <c r="D359" s="2" t="s">
        <v>431</v>
      </c>
      <c r="E359" s="6"/>
      <c r="F359" s="18">
        <v>44486.45</v>
      </c>
      <c r="G359" s="18">
        <v>19421.490000000002</v>
      </c>
      <c r="H359" s="18">
        <v>1537.11</v>
      </c>
      <c r="I359" s="18">
        <v>49322.73</v>
      </c>
      <c r="J359" s="18">
        <v>201.21</v>
      </c>
      <c r="K359" s="18">
        <v>194.81</v>
      </c>
      <c r="L359" s="19">
        <f>SUM(F359:K359)</f>
        <v>115163.8</v>
      </c>
      <c r="M359" s="8"/>
      <c r="N359" s="266"/>
    </row>
    <row r="360" spans="1:22" s="3" customFormat="1" ht="12.2" customHeight="1" x14ac:dyDescent="0.15">
      <c r="A360" s="3" t="s">
        <v>543</v>
      </c>
      <c r="B360" s="2" t="s">
        <v>366</v>
      </c>
      <c r="C360" s="6">
        <v>3</v>
      </c>
      <c r="D360" s="2" t="s">
        <v>431</v>
      </c>
      <c r="E360" s="6"/>
      <c r="F360" s="18">
        <v>99239</v>
      </c>
      <c r="G360" s="18">
        <v>43324.85</v>
      </c>
      <c r="H360" s="18">
        <v>3428.94</v>
      </c>
      <c r="I360" s="18">
        <v>110027.62</v>
      </c>
      <c r="J360" s="18">
        <v>448.84</v>
      </c>
      <c r="K360" s="18">
        <v>434.57</v>
      </c>
      <c r="L360" s="19">
        <f>SUM(F360:K360)</f>
        <v>256903.82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342203.46</v>
      </c>
      <c r="G362" s="47">
        <f t="shared" si="22"/>
        <v>149396.05000000002</v>
      </c>
      <c r="H362" s="47">
        <f t="shared" si="22"/>
        <v>11823.94</v>
      </c>
      <c r="I362" s="47">
        <f t="shared" si="22"/>
        <v>379405.57999999996</v>
      </c>
      <c r="J362" s="47">
        <f t="shared" si="22"/>
        <v>1547.74</v>
      </c>
      <c r="K362" s="47">
        <f t="shared" si="22"/>
        <v>1498.51</v>
      </c>
      <c r="L362" s="47">
        <f t="shared" si="22"/>
        <v>885875.28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206034.04</v>
      </c>
      <c r="G367" s="18">
        <v>46180.04</v>
      </c>
      <c r="H367" s="18">
        <v>103017.02</v>
      </c>
      <c r="I367" s="56">
        <f>SUM(F367:H367)</f>
        <v>355231.10000000003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14021.2</v>
      </c>
      <c r="G368" s="63">
        <v>3142.68</v>
      </c>
      <c r="H368" s="63">
        <v>7010.6</v>
      </c>
      <c r="I368" s="56">
        <f>SUM(F368:H368)</f>
        <v>24174.480000000003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220055.24000000002</v>
      </c>
      <c r="G369" s="47">
        <f>SUM(G367:G368)</f>
        <v>49322.720000000001</v>
      </c>
      <c r="H369" s="47">
        <f>SUM(H367:H368)</f>
        <v>110027.62000000001</v>
      </c>
      <c r="I369" s="47">
        <f>SUM(I367:I368)</f>
        <v>379405.58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1193266.81</v>
      </c>
      <c r="I379" s="18"/>
      <c r="J379" s="18"/>
      <c r="K379" s="18"/>
      <c r="L379" s="13">
        <f t="shared" si="23"/>
        <v>1193266.81</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1193266.81</v>
      </c>
      <c r="I382" s="41">
        <f t="shared" si="24"/>
        <v>0</v>
      </c>
      <c r="J382" s="47">
        <f t="shared" si="24"/>
        <v>0</v>
      </c>
      <c r="K382" s="47">
        <f t="shared" si="24"/>
        <v>0</v>
      </c>
      <c r="L382" s="47">
        <f t="shared" si="24"/>
        <v>1193266.81</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64.3</v>
      </c>
      <c r="I389" s="18"/>
      <c r="J389" s="24" t="s">
        <v>288</v>
      </c>
      <c r="K389" s="24" t="s">
        <v>288</v>
      </c>
      <c r="L389" s="56">
        <f t="shared" si="25"/>
        <v>64.3</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64.3</v>
      </c>
      <c r="I393" s="65">
        <f>SUM(I387:I392)</f>
        <v>0</v>
      </c>
      <c r="J393" s="45" t="s">
        <v>288</v>
      </c>
      <c r="K393" s="45" t="s">
        <v>288</v>
      </c>
      <c r="L393" s="47">
        <f>SUM(L387:L392)</f>
        <v>64.3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f>1265.58+0.01</f>
        <v>1265.5899999999999</v>
      </c>
      <c r="I395" s="18"/>
      <c r="J395" s="24" t="s">
        <v>288</v>
      </c>
      <c r="K395" s="24" t="s">
        <v>288</v>
      </c>
      <c r="L395" s="56">
        <f t="shared" ref="L395:L400" si="26">SUM(F395:K395)</f>
        <v>1265.5899999999999</v>
      </c>
      <c r="M395" s="8"/>
      <c r="N395" s="266"/>
    </row>
    <row r="396" spans="1:14" s="3" customFormat="1" ht="12.2" customHeight="1" x14ac:dyDescent="0.15">
      <c r="A396" s="79" t="s">
        <v>557</v>
      </c>
      <c r="B396" s="2" t="s">
        <v>381</v>
      </c>
      <c r="C396" s="6">
        <v>9</v>
      </c>
      <c r="D396" s="2" t="s">
        <v>432</v>
      </c>
      <c r="E396" s="6"/>
      <c r="F396" s="18"/>
      <c r="G396" s="18"/>
      <c r="H396" s="18">
        <v>1337.15</v>
      </c>
      <c r="I396" s="18"/>
      <c r="J396" s="24" t="s">
        <v>288</v>
      </c>
      <c r="K396" s="24" t="s">
        <v>288</v>
      </c>
      <c r="L396" s="56">
        <f t="shared" si="26"/>
        <v>1337.15</v>
      </c>
      <c r="M396" s="8"/>
      <c r="N396" s="266"/>
    </row>
    <row r="397" spans="1:14" s="3" customFormat="1" ht="12.2" customHeight="1" x14ac:dyDescent="0.15">
      <c r="A397" s="79" t="s">
        <v>515</v>
      </c>
      <c r="B397" s="2" t="s">
        <v>381</v>
      </c>
      <c r="C397" s="6">
        <v>10</v>
      </c>
      <c r="D397" s="2" t="s">
        <v>432</v>
      </c>
      <c r="E397" s="6"/>
      <c r="F397" s="18"/>
      <c r="G397" s="18"/>
      <c r="H397" s="18">
        <v>6688.63</v>
      </c>
      <c r="I397" s="18"/>
      <c r="J397" s="24" t="s">
        <v>288</v>
      </c>
      <c r="K397" s="24" t="s">
        <v>288</v>
      </c>
      <c r="L397" s="56">
        <f t="shared" si="26"/>
        <v>6688.63</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1160.53+0.55+0.01</f>
        <v>1161.0899999999999</v>
      </c>
      <c r="I400" s="18"/>
      <c r="J400" s="24" t="s">
        <v>288</v>
      </c>
      <c r="K400" s="24" t="s">
        <v>288</v>
      </c>
      <c r="L400" s="56">
        <f t="shared" si="26"/>
        <v>1161.0899999999999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10452.459999999999</v>
      </c>
      <c r="I401" s="47">
        <f>SUM(I395:I400)</f>
        <v>0</v>
      </c>
      <c r="J401" s="45" t="s">
        <v>288</v>
      </c>
      <c r="K401" s="45" t="s">
        <v>288</v>
      </c>
      <c r="L401" s="47">
        <f>SUM(L395:L400)</f>
        <v>10452.459999999999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10516.759999999998</v>
      </c>
      <c r="I408" s="47">
        <f>I393+I401+I407</f>
        <v>0</v>
      </c>
      <c r="J408" s="24" t="s">
        <v>288</v>
      </c>
      <c r="K408" s="24" t="s">
        <v>288</v>
      </c>
      <c r="L408" s="47">
        <f>L393+L401+L407</f>
        <v>10516.759999999998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3162.79</v>
      </c>
      <c r="G442" s="18">
        <v>514090.75</v>
      </c>
      <c r="H442" s="18"/>
      <c r="I442" s="56">
        <f t="shared" si="33"/>
        <v>517253.54</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3162.79</v>
      </c>
      <c r="G446" s="13">
        <f>SUM(G439:G445)</f>
        <v>514090.75</v>
      </c>
      <c r="H446" s="13">
        <f>SUM(H439:H445)</f>
        <v>0</v>
      </c>
      <c r="I446" s="13">
        <f>SUM(I439:I445)</f>
        <v>517253.54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3162.79</v>
      </c>
      <c r="G459" s="18">
        <v>514090.75</v>
      </c>
      <c r="H459" s="18"/>
      <c r="I459" s="56">
        <f t="shared" si="34"/>
        <v>517253.54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3162.79</v>
      </c>
      <c r="G460" s="83">
        <f>SUM(G454:G459)</f>
        <v>514090.75</v>
      </c>
      <c r="H460" s="83">
        <f>SUM(H454:H459)</f>
        <v>0</v>
      </c>
      <c r="I460" s="83">
        <f>SUM(I454:I459)</f>
        <v>517253.54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3162.79</v>
      </c>
      <c r="G461" s="42">
        <f>G452+G460</f>
        <v>514090.75</v>
      </c>
      <c r="H461" s="42">
        <f>H452+H460</f>
        <v>0</v>
      </c>
      <c r="I461" s="42">
        <f>I452+I460</f>
        <v>517253.54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2738555.55</v>
      </c>
      <c r="G465" s="18">
        <v>267927.69</v>
      </c>
      <c r="H465" s="18">
        <v>79072</v>
      </c>
      <c r="I465" s="18">
        <v>133102.59</v>
      </c>
      <c r="J465" s="18">
        <v>506736.78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31428307.579999998</v>
      </c>
      <c r="G468" s="18">
        <f>G193</f>
        <v>894649.59</v>
      </c>
      <c r="H468" s="18">
        <f>H193</f>
        <v>1485822.32</v>
      </c>
      <c r="I468" s="18">
        <f>I193</f>
        <v>1766792</v>
      </c>
      <c r="J468" s="18">
        <f>J193</f>
        <v>10516.76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31428307.579999998</v>
      </c>
      <c r="G470" s="53">
        <f>SUM(G468:G469)</f>
        <v>894649.59</v>
      </c>
      <c r="H470" s="53">
        <f>SUM(H468:H469)</f>
        <v>1485822.32</v>
      </c>
      <c r="I470" s="53">
        <f>SUM(I468:I469)</f>
        <v>1766792</v>
      </c>
      <c r="J470" s="53">
        <f>SUM(J468:J469)</f>
        <v>10516.76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32134630.909999996</v>
      </c>
      <c r="G472" s="18">
        <f>L362</f>
        <v>885875.28</v>
      </c>
      <c r="H472" s="18">
        <f>L352</f>
        <v>1484137.3199999998</v>
      </c>
      <c r="I472" s="18">
        <f>L382</f>
        <v>1193266.81</v>
      </c>
      <c r="J472" s="18">
        <f>L434</f>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32134630.909999996</v>
      </c>
      <c r="G474" s="53">
        <f>SUM(G472:G473)</f>
        <v>885875.28</v>
      </c>
      <c r="H474" s="53">
        <f>SUM(H472:H473)</f>
        <v>1484137.3199999998</v>
      </c>
      <c r="I474" s="53">
        <f>SUM(I472:I473)</f>
        <v>1193266.81</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2032232.2199999988</v>
      </c>
      <c r="G476" s="53">
        <f>(G465+G470)- G474</f>
        <v>276702</v>
      </c>
      <c r="H476" s="53">
        <f>(H465+H470)- H474</f>
        <v>80757.000000000233</v>
      </c>
      <c r="I476" s="53">
        <f>(I465+I470)- I474</f>
        <v>706627.78</v>
      </c>
      <c r="J476" s="53">
        <f>(J465+J470)- J474</f>
        <v>517253.54000000004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1489947.27+236638.7-80819.34+29109.04</f>
        <v>1674875.67</v>
      </c>
      <c r="G521" s="18">
        <f>1056972.85+86643.79-39661.11+21500.73</f>
        <v>1125456.26</v>
      </c>
      <c r="H521" s="18">
        <f>16.25+1764696.54-4705.42+82019.95</f>
        <v>1842027.32</v>
      </c>
      <c r="I521" s="18">
        <f>8441.94+6877.57+13357.37</f>
        <v>28676.880000000001</v>
      </c>
      <c r="J521" s="18">
        <f>67.98+2076.39+4610.94</f>
        <v>6755.3099999999995</v>
      </c>
      <c r="K521" s="18">
        <f>2928.07-2275.57</f>
        <v>652.5</v>
      </c>
      <c r="L521" s="88">
        <f>SUM(F521:K521)</f>
        <v>4678443.9399999995</v>
      </c>
      <c r="N521" s="265"/>
    </row>
    <row r="522" spans="1:14" s="52" customFormat="1" ht="12.2" customHeight="1" x14ac:dyDescent="0.2">
      <c r="A522" s="22" t="s">
        <v>634</v>
      </c>
      <c r="B522" s="105">
        <v>21</v>
      </c>
      <c r="C522" s="115">
        <v>2</v>
      </c>
      <c r="D522" s="2" t="s">
        <v>432</v>
      </c>
      <c r="E522" s="115"/>
      <c r="F522" s="18">
        <f>292009.05+53039.71-18114.68+6524.44</f>
        <v>333458.52</v>
      </c>
      <c r="G522" s="18">
        <f>162154.05+19420.16-8889.56+4819.13</f>
        <v>177503.78</v>
      </c>
      <c r="H522" s="18">
        <f>1399.03+395535.43-1054.66+18383.78</f>
        <v>414263.58000000007</v>
      </c>
      <c r="I522" s="18">
        <f>1566.66+1541.52+2993.89</f>
        <v>6102.07</v>
      </c>
      <c r="J522" s="18">
        <f>465.4+1033.49</f>
        <v>1498.8899999999999</v>
      </c>
      <c r="K522" s="18">
        <f>656.29-510.04</f>
        <v>146.24999999999994</v>
      </c>
      <c r="L522" s="88">
        <f>SUM(F522:K522)</f>
        <v>932973.09000000008</v>
      </c>
      <c r="N522" s="265"/>
    </row>
    <row r="523" spans="1:14" s="52" customFormat="1" ht="12.2" customHeight="1" thickBot="1" x14ac:dyDescent="0.25">
      <c r="A523" s="22" t="s">
        <v>635</v>
      </c>
      <c r="B523" s="105">
        <v>21</v>
      </c>
      <c r="C523" s="115">
        <v>3</v>
      </c>
      <c r="D523" s="2" t="s">
        <v>432</v>
      </c>
      <c r="E523" s="115"/>
      <c r="F523" s="18">
        <f>620519.23+118319.35-40409.67+14554.52</f>
        <v>712983.42999999993</v>
      </c>
      <c r="G523" s="18">
        <f>344577.37+43321.9-19830.55+10750.36</f>
        <v>378819.08</v>
      </c>
      <c r="H523" s="18">
        <f>2972.93+882348.27-2352.71+41009.98</f>
        <v>923978.47000000009</v>
      </c>
      <c r="I523" s="18">
        <f>3329.14+3438.79+6678.69</f>
        <v>13446.619999999999</v>
      </c>
      <c r="J523" s="18">
        <f>1038.19+2305.47</f>
        <v>3343.66</v>
      </c>
      <c r="K523" s="18">
        <f>1464.04-1137.79</f>
        <v>326.25</v>
      </c>
      <c r="L523" s="88">
        <f>SUM(F523:K523)</f>
        <v>2032897.51</v>
      </c>
      <c r="N523" s="265"/>
    </row>
    <row r="524" spans="1:14" s="52" customFormat="1" ht="12.2" customHeight="1" thickTop="1" x14ac:dyDescent="0.2">
      <c r="A524" s="139" t="s">
        <v>63</v>
      </c>
      <c r="B524" s="107">
        <v>21</v>
      </c>
      <c r="C524" s="195">
        <v>4</v>
      </c>
      <c r="D524" s="196" t="s">
        <v>432</v>
      </c>
      <c r="E524" s="195"/>
      <c r="F524" s="108">
        <f>SUM(F521:F523)</f>
        <v>2721317.62</v>
      </c>
      <c r="G524" s="108">
        <f t="shared" ref="G524:L524" si="36">SUM(G521:G523)</f>
        <v>1681779.12</v>
      </c>
      <c r="H524" s="108">
        <f t="shared" si="36"/>
        <v>3180269.3700000006</v>
      </c>
      <c r="I524" s="108">
        <f t="shared" si="36"/>
        <v>48225.569999999992</v>
      </c>
      <c r="J524" s="108">
        <f t="shared" si="36"/>
        <v>11597.859999999999</v>
      </c>
      <c r="K524" s="108">
        <f t="shared" si="36"/>
        <v>1125</v>
      </c>
      <c r="L524" s="89">
        <f t="shared" si="36"/>
        <v>7644314.5399999991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324825.56+443889.74</f>
        <v>768715.3</v>
      </c>
      <c r="G526" s="18">
        <f>162851.45+116467.41</f>
        <v>279318.86</v>
      </c>
      <c r="H526" s="18">
        <f>1860.38+652.43</f>
        <v>2512.81</v>
      </c>
      <c r="I526" s="18">
        <f>3138.35+6123.17</f>
        <v>9261.52</v>
      </c>
      <c r="J526" s="18">
        <f>198</f>
        <v>198</v>
      </c>
      <c r="K526" s="18">
        <f>0</f>
        <v>0</v>
      </c>
      <c r="L526" s="88">
        <f>SUM(F526:K526)</f>
        <v>1060006.49</v>
      </c>
      <c r="M526" s="8"/>
      <c r="N526" s="266"/>
    </row>
    <row r="527" spans="1:14" s="3" customFormat="1" ht="12.2" customHeight="1" x14ac:dyDescent="0.15">
      <c r="A527" s="22" t="s">
        <v>634</v>
      </c>
      <c r="B527" s="105">
        <v>21</v>
      </c>
      <c r="C527" s="115">
        <v>6</v>
      </c>
      <c r="D527" s="2" t="s">
        <v>432</v>
      </c>
      <c r="E527" s="115"/>
      <c r="F527" s="18">
        <f>72805.73+95632.62</f>
        <v>168438.34999999998</v>
      </c>
      <c r="G527" s="18">
        <f>36501.19+30926.06</f>
        <v>67427.25</v>
      </c>
      <c r="H527" s="18">
        <f>416.98+2583.92</f>
        <v>3000.9</v>
      </c>
      <c r="I527" s="18">
        <f>703.42+5343.23</f>
        <v>6046.65</v>
      </c>
      <c r="J527" s="18">
        <f>285.44</f>
        <v>285.44</v>
      </c>
      <c r="K527" s="18">
        <f>2622.2</f>
        <v>2622.2</v>
      </c>
      <c r="L527" s="88">
        <f>SUM(F527:K527)</f>
        <v>247820.78999999998</v>
      </c>
      <c r="M527" s="8"/>
      <c r="N527" s="266"/>
    </row>
    <row r="528" spans="1:14" s="3" customFormat="1" ht="12.2" customHeight="1" thickBot="1" x14ac:dyDescent="0.2">
      <c r="A528" s="22" t="s">
        <v>635</v>
      </c>
      <c r="B528" s="118">
        <v>21</v>
      </c>
      <c r="C528" s="118">
        <v>7</v>
      </c>
      <c r="D528" s="2" t="s">
        <v>432</v>
      </c>
      <c r="E528" s="118"/>
      <c r="F528" s="18">
        <f>162412.78+203219.33</f>
        <v>365632.11</v>
      </c>
      <c r="G528" s="18">
        <f>81425.72+65717.89</f>
        <v>147143.60999999999</v>
      </c>
      <c r="H528" s="18">
        <f>930.19+5490.84</f>
        <v>6421.0300000000007</v>
      </c>
      <c r="I528" s="18">
        <f>1569.17+11354.37</f>
        <v>12923.54</v>
      </c>
      <c r="J528" s="18">
        <f>606.55</f>
        <v>606.54999999999995</v>
      </c>
      <c r="K528" s="18">
        <f>5572.16</f>
        <v>5572.16</v>
      </c>
      <c r="L528" s="88">
        <f>SUM(F528:K528)</f>
        <v>538299.00000000012</v>
      </c>
      <c r="M528" s="8"/>
      <c r="N528" s="266"/>
    </row>
    <row r="529" spans="1:14" s="3" customFormat="1" ht="12.2" customHeight="1" thickTop="1" x14ac:dyDescent="0.15">
      <c r="A529" s="139" t="s">
        <v>65</v>
      </c>
      <c r="B529" s="107">
        <v>21</v>
      </c>
      <c r="C529" s="107">
        <v>8</v>
      </c>
      <c r="D529" s="158" t="s">
        <v>432</v>
      </c>
      <c r="E529" s="107"/>
      <c r="F529" s="89">
        <f>SUM(F526:F528)</f>
        <v>1302785.76</v>
      </c>
      <c r="G529" s="89">
        <f t="shared" ref="G529:L529" si="37">SUM(G526:G528)</f>
        <v>493889.72</v>
      </c>
      <c r="H529" s="89">
        <f t="shared" si="37"/>
        <v>11934.740000000002</v>
      </c>
      <c r="I529" s="89">
        <f t="shared" si="37"/>
        <v>28231.71</v>
      </c>
      <c r="J529" s="89">
        <f t="shared" si="37"/>
        <v>1089.99</v>
      </c>
      <c r="K529" s="89">
        <f t="shared" si="37"/>
        <v>8194.36</v>
      </c>
      <c r="L529" s="89">
        <f t="shared" si="37"/>
        <v>1846126.2800000003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80819.34</v>
      </c>
      <c r="G531" s="18">
        <v>39661.11</v>
      </c>
      <c r="H531" s="18">
        <v>4705.42</v>
      </c>
      <c r="I531" s="18"/>
      <c r="J531" s="18"/>
      <c r="K531" s="18">
        <v>2275.5700000000002</v>
      </c>
      <c r="L531" s="88">
        <f>SUM(F531:K531)</f>
        <v>127461.44</v>
      </c>
      <c r="M531" s="8"/>
      <c r="N531" s="266"/>
    </row>
    <row r="532" spans="1:14" s="3" customFormat="1" ht="12.2" customHeight="1" x14ac:dyDescent="0.15">
      <c r="A532" s="22" t="s">
        <v>634</v>
      </c>
      <c r="B532" s="105">
        <v>21</v>
      </c>
      <c r="C532" s="105">
        <v>10</v>
      </c>
      <c r="D532" s="2" t="s">
        <v>432</v>
      </c>
      <c r="E532" s="105"/>
      <c r="F532" s="18">
        <v>18114.68</v>
      </c>
      <c r="G532" s="18">
        <v>8889.56</v>
      </c>
      <c r="H532" s="18">
        <v>1054.6600000000001</v>
      </c>
      <c r="I532" s="18"/>
      <c r="J532" s="18"/>
      <c r="K532" s="18">
        <v>510.04</v>
      </c>
      <c r="L532" s="88">
        <f>SUM(F532:K532)</f>
        <v>28568.94</v>
      </c>
      <c r="M532" s="8"/>
      <c r="N532" s="266"/>
    </row>
    <row r="533" spans="1:14" s="3" customFormat="1" ht="12.2" customHeight="1" thickBot="1" x14ac:dyDescent="0.2">
      <c r="A533" s="22" t="s">
        <v>635</v>
      </c>
      <c r="B533" s="105">
        <v>21</v>
      </c>
      <c r="C533" s="105">
        <v>11</v>
      </c>
      <c r="D533" s="2" t="s">
        <v>432</v>
      </c>
      <c r="E533" s="105"/>
      <c r="F533" s="18">
        <v>40409.67</v>
      </c>
      <c r="G533" s="18">
        <v>19830.55</v>
      </c>
      <c r="H533" s="18">
        <v>2352.71</v>
      </c>
      <c r="I533" s="18"/>
      <c r="J533" s="18"/>
      <c r="K533" s="18">
        <v>1137.79</v>
      </c>
      <c r="L533" s="88">
        <f>SUM(F533:K533)</f>
        <v>63730.720000000001</v>
      </c>
      <c r="M533" s="8"/>
      <c r="N533" s="266"/>
    </row>
    <row r="534" spans="1:14" s="3" customFormat="1" ht="12.2" customHeight="1" thickTop="1" x14ac:dyDescent="0.15">
      <c r="A534" s="139" t="s">
        <v>67</v>
      </c>
      <c r="B534" s="107">
        <v>21</v>
      </c>
      <c r="C534" s="107">
        <v>12</v>
      </c>
      <c r="D534" s="158" t="s">
        <v>432</v>
      </c>
      <c r="E534" s="107"/>
      <c r="F534" s="89">
        <f>SUM(F531:F533)</f>
        <v>139343.69</v>
      </c>
      <c r="G534" s="89">
        <f t="shared" ref="G534:L534" si="38">SUM(G531:G533)</f>
        <v>68381.22</v>
      </c>
      <c r="H534" s="89">
        <f t="shared" si="38"/>
        <v>8112.79</v>
      </c>
      <c r="I534" s="89">
        <f t="shared" si="38"/>
        <v>0</v>
      </c>
      <c r="J534" s="89">
        <f t="shared" si="38"/>
        <v>0</v>
      </c>
      <c r="K534" s="89">
        <f t="shared" si="38"/>
        <v>3923.4</v>
      </c>
      <c r="L534" s="89">
        <f t="shared" si="38"/>
        <v>219761.1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48423.5</v>
      </c>
      <c r="G541" s="18">
        <v>3760.34</v>
      </c>
      <c r="H541" s="18">
        <v>300502.08</v>
      </c>
      <c r="I541" s="18">
        <v>1333.47</v>
      </c>
      <c r="J541" s="18"/>
      <c r="K541" s="18"/>
      <c r="L541" s="88">
        <f>SUM(F541:K541)</f>
        <v>354019.39</v>
      </c>
      <c r="M541" s="8"/>
      <c r="N541" s="266"/>
    </row>
    <row r="542" spans="1:14" s="3" customFormat="1" ht="12.2" customHeight="1" x14ac:dyDescent="0.15">
      <c r="A542" s="22" t="s">
        <v>634</v>
      </c>
      <c r="B542" s="105">
        <v>21</v>
      </c>
      <c r="C542" s="105">
        <v>18</v>
      </c>
      <c r="D542" s="2" t="s">
        <v>432</v>
      </c>
      <c r="E542" s="105"/>
      <c r="F542" s="18">
        <v>10853.54</v>
      </c>
      <c r="G542" s="18">
        <v>842.84</v>
      </c>
      <c r="H542" s="18">
        <v>67353.91</v>
      </c>
      <c r="I542" s="18">
        <v>298.88</v>
      </c>
      <c r="J542" s="18"/>
      <c r="K542" s="18"/>
      <c r="L542" s="88">
        <f>SUM(F542:K542)</f>
        <v>79349.170000000013</v>
      </c>
      <c r="M542" s="8"/>
      <c r="N542" s="266"/>
    </row>
    <row r="543" spans="1:14" s="3" customFormat="1" ht="12.2" customHeight="1" thickBot="1" x14ac:dyDescent="0.2">
      <c r="A543" s="22" t="s">
        <v>635</v>
      </c>
      <c r="B543" s="105">
        <v>21</v>
      </c>
      <c r="C543" s="105">
        <v>19</v>
      </c>
      <c r="D543" s="2" t="s">
        <v>432</v>
      </c>
      <c r="E543" s="105"/>
      <c r="F543" s="18">
        <v>24211.75</v>
      </c>
      <c r="G543" s="18">
        <v>1880.17</v>
      </c>
      <c r="H543" s="18">
        <v>150251.04</v>
      </c>
      <c r="I543" s="18">
        <v>666.73</v>
      </c>
      <c r="J543" s="18"/>
      <c r="K543" s="18"/>
      <c r="L543" s="88">
        <f>SUM(F543:K543)</f>
        <v>177009.69000000003</v>
      </c>
      <c r="M543" s="8"/>
      <c r="N543" s="266"/>
    </row>
    <row r="544" spans="1:14" s="3" customFormat="1" ht="12.2" customHeight="1" thickTop="1" thickBot="1" x14ac:dyDescent="0.2">
      <c r="A544" s="130" t="s">
        <v>71</v>
      </c>
      <c r="B544" s="191">
        <v>21</v>
      </c>
      <c r="C544" s="191">
        <v>20</v>
      </c>
      <c r="D544" s="192" t="s">
        <v>432</v>
      </c>
      <c r="E544" s="191"/>
      <c r="F544" s="193">
        <f>SUM(F541:F543)</f>
        <v>83488.790000000008</v>
      </c>
      <c r="G544" s="193">
        <f t="shared" ref="G544:L544" si="40">SUM(G541:G543)</f>
        <v>6483.35</v>
      </c>
      <c r="H544" s="193">
        <f t="shared" si="40"/>
        <v>518107.03</v>
      </c>
      <c r="I544" s="193">
        <f t="shared" si="40"/>
        <v>2299.08</v>
      </c>
      <c r="J544" s="193">
        <f t="shared" si="40"/>
        <v>0</v>
      </c>
      <c r="K544" s="193">
        <f t="shared" si="40"/>
        <v>0</v>
      </c>
      <c r="L544" s="193">
        <f t="shared" si="40"/>
        <v>610378.25000000012</v>
      </c>
      <c r="M544" s="8"/>
      <c r="N544" s="266"/>
    </row>
    <row r="545" spans="1:14" s="3" customFormat="1" ht="12.2" customHeight="1" thickTop="1" x14ac:dyDescent="0.15">
      <c r="A545" s="98" t="s">
        <v>72</v>
      </c>
      <c r="B545" s="107">
        <v>21</v>
      </c>
      <c r="C545" s="107">
        <v>21</v>
      </c>
      <c r="D545" s="158" t="s">
        <v>432</v>
      </c>
      <c r="E545" s="107"/>
      <c r="F545" s="89">
        <f>F524+F529+F534+F539+F544</f>
        <v>4246935.8599999994</v>
      </c>
      <c r="G545" s="89">
        <f t="shared" ref="G545:L545" si="41">G524+G529+G534+G539+G544</f>
        <v>2250533.41</v>
      </c>
      <c r="H545" s="89">
        <f t="shared" si="41"/>
        <v>3718423.9300000006</v>
      </c>
      <c r="I545" s="89">
        <f t="shared" si="41"/>
        <v>78756.36</v>
      </c>
      <c r="J545" s="89">
        <f t="shared" si="41"/>
        <v>12687.849999999999</v>
      </c>
      <c r="K545" s="89">
        <f t="shared" si="41"/>
        <v>13242.76</v>
      </c>
      <c r="L545" s="89">
        <f t="shared" si="41"/>
        <v>10320580.17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4678443.9399999995</v>
      </c>
      <c r="G549" s="87">
        <f>L526</f>
        <v>1060006.49</v>
      </c>
      <c r="H549" s="87">
        <f>L531</f>
        <v>127461.44</v>
      </c>
      <c r="I549" s="87">
        <f>L536</f>
        <v>0</v>
      </c>
      <c r="J549" s="87">
        <f>L541</f>
        <v>354019.39</v>
      </c>
      <c r="K549" s="87">
        <f>SUM(F549:J549)</f>
        <v>6219931.2599999998</v>
      </c>
      <c r="L549" s="24" t="s">
        <v>288</v>
      </c>
      <c r="M549" s="8"/>
      <c r="N549" s="266"/>
    </row>
    <row r="550" spans="1:14" s="3" customFormat="1" ht="12.2" customHeight="1" x14ac:dyDescent="0.15">
      <c r="A550" s="22" t="s">
        <v>634</v>
      </c>
      <c r="B550" s="75">
        <v>21</v>
      </c>
      <c r="C550" s="75">
        <v>23</v>
      </c>
      <c r="D550" s="2" t="s">
        <v>432</v>
      </c>
      <c r="E550" s="75"/>
      <c r="F550" s="87">
        <f>L522</f>
        <v>932973.09000000008</v>
      </c>
      <c r="G550" s="87">
        <f>L527</f>
        <v>247820.78999999998</v>
      </c>
      <c r="H550" s="87">
        <f>L532</f>
        <v>28568.94</v>
      </c>
      <c r="I550" s="87">
        <f>L537</f>
        <v>0</v>
      </c>
      <c r="J550" s="87">
        <f>L542</f>
        <v>79349.170000000013</v>
      </c>
      <c r="K550" s="87">
        <f>SUM(F550:J550)</f>
        <v>1288711.99</v>
      </c>
      <c r="L550" s="24" t="s">
        <v>288</v>
      </c>
      <c r="M550" s="8"/>
      <c r="N550" s="266"/>
    </row>
    <row r="551" spans="1:14" s="3" customFormat="1" ht="12.2" customHeight="1" thickBot="1" x14ac:dyDescent="0.2">
      <c r="A551" s="22" t="s">
        <v>635</v>
      </c>
      <c r="B551" s="75">
        <v>21</v>
      </c>
      <c r="C551" s="75">
        <v>24</v>
      </c>
      <c r="D551" s="2" t="s">
        <v>432</v>
      </c>
      <c r="E551" s="75"/>
      <c r="F551" s="87">
        <f>L523</f>
        <v>2032897.51</v>
      </c>
      <c r="G551" s="87">
        <f>L528</f>
        <v>538299.00000000012</v>
      </c>
      <c r="H551" s="87">
        <f>L533</f>
        <v>63730.720000000001</v>
      </c>
      <c r="I551" s="87">
        <f>L538</f>
        <v>0</v>
      </c>
      <c r="J551" s="87">
        <f>L543</f>
        <v>177009.69000000003</v>
      </c>
      <c r="K551" s="87">
        <f>SUM(F551:J551)</f>
        <v>2811936.9200000004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7644314.5399999991</v>
      </c>
      <c r="G552" s="89">
        <f t="shared" si="42"/>
        <v>1846126.2800000003</v>
      </c>
      <c r="H552" s="89">
        <f t="shared" si="42"/>
        <v>219761.1</v>
      </c>
      <c r="I552" s="89">
        <f t="shared" si="42"/>
        <v>0</v>
      </c>
      <c r="J552" s="89">
        <f t="shared" si="42"/>
        <v>610378.25000000012</v>
      </c>
      <c r="K552" s="89">
        <f t="shared" si="42"/>
        <v>10320580.17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2550</v>
      </c>
      <c r="G575" s="18"/>
      <c r="H575" s="18"/>
      <c r="I575" s="87">
        <f>SUM(F575:H575)</f>
        <v>2550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16292.87</v>
      </c>
      <c r="G579" s="18">
        <v>3651.85</v>
      </c>
      <c r="H579" s="18">
        <v>8146.44</v>
      </c>
      <c r="I579" s="87">
        <f t="shared" si="47"/>
        <v>28091.16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1093406.8899999999</v>
      </c>
      <c r="G582" s="18">
        <v>245073.96</v>
      </c>
      <c r="H582" s="18">
        <v>546703.44999999995</v>
      </c>
      <c r="I582" s="87">
        <f t="shared" si="47"/>
        <v>1885184.2999999998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38524.080000000002</v>
      </c>
      <c r="I584" s="87">
        <f t="shared" si="47"/>
        <v>38524.080000000002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655310.85</v>
      </c>
      <c r="I591" s="18">
        <v>165854.84</v>
      </c>
      <c r="J591" s="18">
        <v>367976.91</v>
      </c>
      <c r="K591" s="104">
        <f t="shared" ref="K591:K597" si="48">SUM(H591:J591)</f>
        <v>1189142.5999999999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354019.39</v>
      </c>
      <c r="I592" s="18">
        <v>79349.17</v>
      </c>
      <c r="J592" s="18">
        <v>177009.7</v>
      </c>
      <c r="K592" s="104">
        <f t="shared" si="48"/>
        <v>610378.26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20375.5</v>
      </c>
      <c r="K593" s="104">
        <f t="shared" si="48"/>
        <v>20375.5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18568.05</v>
      </c>
      <c r="J594" s="18">
        <v>39457.11</v>
      </c>
      <c r="K594" s="104">
        <f t="shared" si="48"/>
        <v>58025.16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250+1125+250</f>
        <v>1625</v>
      </c>
      <c r="I595" s="18"/>
      <c r="J595" s="18">
        <v>1317.92</v>
      </c>
      <c r="K595" s="104">
        <f t="shared" si="48"/>
        <v>2942.92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15914.97</v>
      </c>
      <c r="I597" s="18">
        <v>3567.15</v>
      </c>
      <c r="J597" s="18">
        <v>7957.48</v>
      </c>
      <c r="K597" s="104">
        <f t="shared" si="48"/>
        <v>27439.599999999999</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1026870.21</v>
      </c>
      <c r="I598" s="108">
        <f>SUM(I591:I597)</f>
        <v>267339.21000000002</v>
      </c>
      <c r="J598" s="108">
        <f>SUM(J591:J597)</f>
        <v>614094.62</v>
      </c>
      <c r="K598" s="108">
        <f>SUM(K591:K597)</f>
        <v>1908304.0399999998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224533.08-0.47</f>
        <v>224532.61</v>
      </c>
      <c r="I604" s="18">
        <v>71892.91</v>
      </c>
      <c r="J604" s="18">
        <v>157322.15</v>
      </c>
      <c r="K604" s="104">
        <f>SUM(H604:J604)</f>
        <v>453747.67000000004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224532.61</v>
      </c>
      <c r="I605" s="108">
        <f>SUM(I602:I604)</f>
        <v>71892.91</v>
      </c>
      <c r="J605" s="108">
        <f>SUM(J602:J604)</f>
        <v>157322.15</v>
      </c>
      <c r="K605" s="108">
        <f>SUM(K602:K604)</f>
        <v>453747.67000000004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3551405.22</v>
      </c>
      <c r="H617" s="109">
        <f>SUM(F52)</f>
        <v>3551405.2199999997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289282</v>
      </c>
      <c r="H618" s="109">
        <f>SUM(G52)</f>
        <v>289282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761461</v>
      </c>
      <c r="H619" s="109">
        <f>SUM(H52)</f>
        <v>761461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912226.78</v>
      </c>
      <c r="H620" s="109">
        <f>SUM(I52)</f>
        <v>912226.78</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517253.54</v>
      </c>
      <c r="H621" s="109">
        <f>SUM(J52)</f>
        <v>517253.54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2032232.22</v>
      </c>
      <c r="H622" s="109">
        <f>F476</f>
        <v>2032232.2199999988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276702</v>
      </c>
      <c r="H623" s="109">
        <f>G476</f>
        <v>276702</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80757</v>
      </c>
      <c r="H624" s="109">
        <f>H476</f>
        <v>80757.000000000233</v>
      </c>
      <c r="I624" s="121" t="s">
        <v>103</v>
      </c>
      <c r="J624" s="109">
        <f t="shared" si="50"/>
        <v>-2.3283064365386963E-10</v>
      </c>
      <c r="K624" s="109"/>
      <c r="L624" s="109"/>
      <c r="M624" s="8"/>
    </row>
    <row r="625" spans="1:13" s="3" customFormat="1" ht="12.2" customHeight="1" x14ac:dyDescent="0.15">
      <c r="A625" s="97"/>
      <c r="B625" s="105"/>
      <c r="C625" s="105"/>
      <c r="D625" s="105"/>
      <c r="E625" s="105"/>
      <c r="F625" s="120" t="s">
        <v>868</v>
      </c>
      <c r="G625" s="109">
        <f>I51</f>
        <v>706627.78</v>
      </c>
      <c r="H625" s="109">
        <f>I476</f>
        <v>706627.78</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517253.54</v>
      </c>
      <c r="H626" s="109">
        <f>J476</f>
        <v>517253.54000000004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31428307.579999998</v>
      </c>
      <c r="H627" s="104">
        <f>SUM(F468)</f>
        <v>31428307.579999998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894649.59</v>
      </c>
      <c r="H628" s="104">
        <f>SUM(G468)</f>
        <v>894649.59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1485822.32</v>
      </c>
      <c r="H629" s="104">
        <f>SUM(H468)</f>
        <v>1485822.32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1766792</v>
      </c>
      <c r="H630" s="104">
        <f>SUM(I468)</f>
        <v>1766792</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10516.76</v>
      </c>
      <c r="H631" s="104">
        <f>SUM(J468)</f>
        <v>10516.76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32134630.909999996</v>
      </c>
      <c r="H632" s="104">
        <f>SUM(F472)</f>
        <v>32134630.909999996</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1484137.3199999998</v>
      </c>
      <c r="H633" s="104">
        <f>SUM(H472)</f>
        <v>1484137.3199999998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379405.57999999996</v>
      </c>
      <c r="H634" s="104">
        <f>I369</f>
        <v>379405.58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885875.28</v>
      </c>
      <c r="H635" s="104">
        <f>SUM(G472)</f>
        <v>885875.28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1193266.81</v>
      </c>
      <c r="H636" s="104">
        <f>SUM(I472)</f>
        <v>1193266.81</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10516.759999999998</v>
      </c>
      <c r="H637" s="164">
        <f>SUM(J468)</f>
        <v>10516.76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3162.79</v>
      </c>
      <c r="H639" s="104">
        <f>SUM(F461)</f>
        <v>3162.79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514090.75</v>
      </c>
      <c r="H640" s="104">
        <f>SUM(G461)</f>
        <v>514090.75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517253.54</v>
      </c>
      <c r="H642" s="104">
        <f>SUM(I461)</f>
        <v>517253.54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10516.76</v>
      </c>
      <c r="H644" s="104">
        <f>H408</f>
        <v>10516.759999999998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10516.76</v>
      </c>
      <c r="H646" s="104">
        <f>L408</f>
        <v>10516.759999999998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1908304.0399999998</v>
      </c>
      <c r="H647" s="104">
        <f>L208+L226+L244</f>
        <v>1908304.04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453747.67000000004</v>
      </c>
      <c r="H648" s="104">
        <f>(J257+J338)-(J255+J336)</f>
        <v>453747.67000000004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1026870.21</v>
      </c>
      <c r="H649" s="104">
        <f>H598</f>
        <v>1026870.21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267339.21000000002</v>
      </c>
      <c r="H650" s="104">
        <f>I598</f>
        <v>267339.21000000002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614094.62</v>
      </c>
      <c r="H651" s="104">
        <f>J598</f>
        <v>614094.62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1766792</v>
      </c>
      <c r="H654" s="104">
        <f>K265+K346</f>
        <v>1766792</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18749843.769999996</v>
      </c>
      <c r="G660" s="19">
        <f>(L229+L309+L359)</f>
        <v>4393037.55</v>
      </c>
      <c r="H660" s="19">
        <f>(L247+L328+L360)</f>
        <v>9589453.1899999995</v>
      </c>
      <c r="I660" s="19">
        <f>SUM(F660:H660)</f>
        <v>32732334.509999998</v>
      </c>
      <c r="J660" s="13"/>
      <c r="K660" s="13"/>
      <c r="L660" s="13"/>
      <c r="M660" s="9"/>
    </row>
    <row r="661" spans="1:13" s="3" customFormat="1" ht="12.2" customHeight="1" x14ac:dyDescent="0.2">
      <c r="A661" s="1" t="s">
        <v>127</v>
      </c>
      <c r="F661" s="19">
        <f>(L358/IF(SUM(L358:L360)=0,1,SUM(L358:L360))*(SUM(G97:G110)))</f>
        <v>239870.99907956051</v>
      </c>
      <c r="G661" s="19">
        <f>(L359/IF(SUM(L358:L360)=0,1,SUM(L358:L360))*(SUM(G97:G110)))</f>
        <v>53764.196049157166</v>
      </c>
      <c r="H661" s="19">
        <f>(L360/IF(SUM(L358:L360)=0,1,SUM(L358:L360))*(SUM(G97:G110)))</f>
        <v>119935.49487128234</v>
      </c>
      <c r="I661" s="19">
        <f>SUM(F661:H661)</f>
        <v>413570.69000000006</v>
      </c>
      <c r="J661"/>
      <c r="K661" s="13"/>
      <c r="L661" s="13"/>
      <c r="M661" s="9"/>
    </row>
    <row r="662" spans="1:13" s="3" customFormat="1" ht="12.2" customHeight="1" x14ac:dyDescent="0.2">
      <c r="A662" s="1" t="s">
        <v>128</v>
      </c>
      <c r="F662" s="19">
        <f>(L208+L287)-(J208+J287)</f>
        <v>1049260.4099999999</v>
      </c>
      <c r="G662" s="19">
        <f>(L226+L306)-(J226+J306)</f>
        <v>267339.21000000002</v>
      </c>
      <c r="H662" s="19">
        <f>(L244+L325)-(J244+J325)</f>
        <v>614094.62</v>
      </c>
      <c r="I662" s="19">
        <f>SUM(F662:H662)</f>
        <v>1930694.2399999998</v>
      </c>
      <c r="J662"/>
      <c r="K662" s="13"/>
      <c r="L662" s="13"/>
      <c r="M662" s="8"/>
    </row>
    <row r="663" spans="1:13" s="3" customFormat="1" ht="12.2" customHeight="1" x14ac:dyDescent="0.15">
      <c r="A663" s="198" t="s">
        <v>129</v>
      </c>
      <c r="B663" s="169"/>
      <c r="C663" s="169"/>
      <c r="D663" s="169"/>
      <c r="E663" s="169"/>
      <c r="F663" s="199">
        <f>SUM(F575:F587)+SUM(H602:H604)+SUM(L611)</f>
        <v>1336782.3700000001</v>
      </c>
      <c r="G663" s="199">
        <f>SUM(G575:G587)+SUM(I602:I604)+L612</f>
        <v>320618.71999999997</v>
      </c>
      <c r="H663" s="199">
        <f>SUM(H575:H587)+SUM(J602:J604)+L613</f>
        <v>750696.11999999988</v>
      </c>
      <c r="I663" s="19">
        <f>SUM(F663:H663)</f>
        <v>2408097.21</v>
      </c>
      <c r="J663" s="13"/>
      <c r="K663" s="13"/>
      <c r="L663" s="13"/>
      <c r="M663" s="9"/>
    </row>
    <row r="664" spans="1:13" s="3" customFormat="1" ht="12.2" customHeight="1" x14ac:dyDescent="0.15">
      <c r="A664" s="1" t="s">
        <v>130</v>
      </c>
      <c r="F664" s="19">
        <f>F660-SUM(F661:F663)</f>
        <v>16123929.990920436</v>
      </c>
      <c r="G664" s="19">
        <f>G660-SUM(G661:G663)</f>
        <v>3751315.4239508426</v>
      </c>
      <c r="H664" s="19">
        <f>H660-SUM(H661:H663)</f>
        <v>8104726.9551287172</v>
      </c>
      <c r="I664" s="19">
        <f>I660-SUM(I661:I663)</f>
        <v>27979972.369999997</v>
      </c>
      <c r="J664" s="13"/>
      <c r="K664" s="13"/>
      <c r="L664" s="13"/>
      <c r="M664" s="9"/>
    </row>
    <row r="665" spans="1:13" s="3" customFormat="1" ht="12.2" customHeight="1" x14ac:dyDescent="0.2">
      <c r="A665" s="1" t="s">
        <v>131</v>
      </c>
      <c r="F665" s="246">
        <v>920.31</v>
      </c>
      <c r="G665" s="247">
        <v>219.78</v>
      </c>
      <c r="H665" s="247">
        <v>463.56</v>
      </c>
      <c r="I665" s="19">
        <f>SUM(F665:H665)</f>
        <v>1603.6499999999999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17520.11</v>
      </c>
      <c r="G667" s="19">
        <f>ROUND(G664/G665,2)</f>
        <v>17068.5</v>
      </c>
      <c r="H667" s="19">
        <f>ROUND(H664/H665,2)</f>
        <v>17483.66</v>
      </c>
      <c r="I667" s="19">
        <f>ROUND(I664/I665,2)</f>
        <v>17447.68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-10.06</v>
      </c>
      <c r="I670" s="19">
        <f>SUM(F670:H670)</f>
        <v>-10.06</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17520.11</v>
      </c>
      <c r="G672" s="19">
        <f>ROUND((G664+G669)/(G665+G670),2)</f>
        <v>17068.5</v>
      </c>
      <c r="H672" s="19">
        <f>ROUND((H664+H669)/(H665+H670),2)</f>
        <v>17871.5</v>
      </c>
      <c r="I672" s="19">
        <f>ROUND((I664+I669)/(I665+I670),2)</f>
        <v>17557.82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Monadnock Regional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8976894.6900000013</v>
      </c>
      <c r="C9" s="229">
        <f>'DOE25'!G197+'DOE25'!G215+'DOE25'!G233+'DOE25'!G276+'DOE25'!G295+'DOE25'!G314</f>
        <v>1866370.49</v>
      </c>
    </row>
    <row r="10" spans="1:3" x14ac:dyDescent="0.2">
      <c r="A10" t="s">
        <v>775</v>
      </c>
      <c r="B10" s="240">
        <v>8535417.0099999998</v>
      </c>
      <c r="C10" s="240">
        <v>1687709.27</v>
      </c>
    </row>
    <row r="11" spans="1:3" x14ac:dyDescent="0.2">
      <c r="A11" t="s">
        <v>776</v>
      </c>
      <c r="B11" s="240">
        <v>286470.88</v>
      </c>
      <c r="C11" s="240">
        <v>166803.20000000001</v>
      </c>
    </row>
    <row r="12" spans="1:3" x14ac:dyDescent="0.2">
      <c r="A12" t="s">
        <v>777</v>
      </c>
      <c r="B12" s="240">
        <v>155006.79999999999</v>
      </c>
      <c r="C12" s="240">
        <v>11858.02</v>
      </c>
    </row>
    <row r="13" spans="1:3" x14ac:dyDescent="0.2">
      <c r="A13" t="str">
        <f>IF(B9=B13,IF(C9=C13,"Check Total OK","Check Total Error"),"Check Total Error")</f>
        <v>Check Total OK</v>
      </c>
      <c r="B13" s="231">
        <f>SUM(B10:B12)</f>
        <v>8976894.6900000013</v>
      </c>
      <c r="C13" s="231">
        <f>SUM(C10:C12)</f>
        <v>1866370.49</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2860661.31</v>
      </c>
      <c r="C18" s="229">
        <f>'DOE25'!G198+'DOE25'!G216+'DOE25'!G234+'DOE25'!G277+'DOE25'!G296+'DOE25'!G315</f>
        <v>1750160.3399999999</v>
      </c>
    </row>
    <row r="19" spans="1:3" x14ac:dyDescent="0.2">
      <c r="A19" t="s">
        <v>775</v>
      </c>
      <c r="B19" s="240">
        <v>1532116.63</v>
      </c>
      <c r="C19" s="240">
        <v>513267.72</v>
      </c>
    </row>
    <row r="20" spans="1:3" x14ac:dyDescent="0.2">
      <c r="A20" t="s">
        <v>776</v>
      </c>
      <c r="B20" s="240">
        <v>1288790.31</v>
      </c>
      <c r="C20" s="240">
        <v>1233851.4099999999</v>
      </c>
    </row>
    <row r="21" spans="1:3" x14ac:dyDescent="0.2">
      <c r="A21" t="s">
        <v>777</v>
      </c>
      <c r="B21" s="240">
        <v>39754.370000000003</v>
      </c>
      <c r="C21" s="240">
        <v>3041.21</v>
      </c>
    </row>
    <row r="22" spans="1:3" x14ac:dyDescent="0.2">
      <c r="A22" t="str">
        <f>IF(B18=B22,IF(C18=C22,"Check Total OK","Check Total Error"),"Check Total Error")</f>
        <v>Check Total OK</v>
      </c>
      <c r="B22" s="231">
        <f>SUM(B19:B21)</f>
        <v>2860661.31</v>
      </c>
      <c r="C22" s="231">
        <f>SUM(C19:C21)</f>
        <v>1750160.3399999999</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405461.58999999997</v>
      </c>
      <c r="C36" s="235">
        <f>'DOE25'!G200+'DOE25'!G218+'DOE25'!G236+'DOE25'!G279+'DOE25'!G298+'DOE25'!G317</f>
        <v>111035.51</v>
      </c>
    </row>
    <row r="37" spans="1:3" x14ac:dyDescent="0.2">
      <c r="A37" t="s">
        <v>775</v>
      </c>
      <c r="B37" s="240">
        <v>73304.58</v>
      </c>
      <c r="C37" s="240">
        <v>42649.47</v>
      </c>
    </row>
    <row r="38" spans="1:3" x14ac:dyDescent="0.2">
      <c r="A38" t="s">
        <v>776</v>
      </c>
      <c r="B38" s="240"/>
      <c r="C38" s="240"/>
    </row>
    <row r="39" spans="1:3" x14ac:dyDescent="0.2">
      <c r="A39" t="s">
        <v>777</v>
      </c>
      <c r="B39" s="240">
        <v>332157.01</v>
      </c>
      <c r="C39" s="240">
        <v>68386.039999999994</v>
      </c>
    </row>
    <row r="40" spans="1:3" x14ac:dyDescent="0.2">
      <c r="A40" t="str">
        <f>IF(B36=B40,IF(C36=C40,"Check Total OK","Check Total Error"),"Check Total Error")</f>
        <v>Check Total OK</v>
      </c>
      <c r="B40" s="231">
        <f>SUM(B37:B39)</f>
        <v>405461.59</v>
      </c>
      <c r="C40" s="231">
        <f>SUM(C37:C39)</f>
        <v>111035.51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Monadnock Regional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19021943.300000001</v>
      </c>
      <c r="D5" s="20">
        <f>SUM('DOE25'!L197:L200)+SUM('DOE25'!L215:L218)+SUM('DOE25'!L233:L236)-F5-G5-H5</f>
        <v>18644537.73</v>
      </c>
      <c r="E5" s="243"/>
      <c r="F5" s="244">
        <f>29782+37320+101778.21+74570</f>
        <v>243450.21000000002</v>
      </c>
      <c r="G5" s="53">
        <f>SUM('DOE25'!J197:J200)+SUM('DOE25'!J215:J218)+SUM('DOE25'!J233:J236)</f>
        <v>87665.209999999992</v>
      </c>
      <c r="H5" s="53">
        <f>SUM('DOE25'!K197:K200)+SUM('DOE25'!K215:K218)+SUM('DOE25'!K233:K236)</f>
        <v>46290.149999999994</v>
      </c>
      <c r="I5" s="256"/>
    </row>
    <row r="6" spans="1:9" x14ac:dyDescent="0.2">
      <c r="A6" s="32">
        <v>2100</v>
      </c>
      <c r="B6" t="s">
        <v>796</v>
      </c>
      <c r="C6" s="276">
        <f t="shared" si="0"/>
        <v>1846126.2800000003</v>
      </c>
      <c r="D6" s="20">
        <f>'DOE25'!L202+'DOE25'!L220+'DOE25'!L238-F6-G6-H6</f>
        <v>1836841.9300000002</v>
      </c>
      <c r="E6" s="243"/>
      <c r="F6" s="244"/>
      <c r="G6" s="53">
        <f>'DOE25'!J202+'DOE25'!J220+'DOE25'!J238</f>
        <v>1089.99</v>
      </c>
      <c r="H6" s="53">
        <f>'DOE25'!K202+'DOE25'!K220+'DOE25'!K238</f>
        <v>8194.36</v>
      </c>
      <c r="I6" s="256"/>
    </row>
    <row r="7" spans="1:9" x14ac:dyDescent="0.2">
      <c r="A7" s="32">
        <v>2200</v>
      </c>
      <c r="B7" t="s">
        <v>821</v>
      </c>
      <c r="C7" s="276">
        <f t="shared" si="0"/>
        <v>599555.12</v>
      </c>
      <c r="D7" s="20">
        <f>'DOE25'!L203+'DOE25'!L221+'DOE25'!L239-F7-G7-H7</f>
        <v>595116.96</v>
      </c>
      <c r="E7" s="243"/>
      <c r="F7" s="244"/>
      <c r="G7" s="53">
        <f>'DOE25'!J203+'DOE25'!J221+'DOE25'!J239</f>
        <v>2954.88</v>
      </c>
      <c r="H7" s="53">
        <f>'DOE25'!K203+'DOE25'!K221+'DOE25'!K239</f>
        <v>1483.2799999999997</v>
      </c>
      <c r="I7" s="256"/>
    </row>
    <row r="8" spans="1:9" x14ac:dyDescent="0.2">
      <c r="A8" s="32">
        <v>2300</v>
      </c>
      <c r="B8" t="s">
        <v>797</v>
      </c>
      <c r="C8" s="276">
        <f t="shared" si="0"/>
        <v>26275.180000000073</v>
      </c>
      <c r="D8" s="243"/>
      <c r="E8" s="20">
        <f>'DOE25'!L204+'DOE25'!L222+'DOE25'!L240-F8-G8-H8-D9-D11</f>
        <v>-4038.8899999999267</v>
      </c>
      <c r="F8" s="244"/>
      <c r="G8" s="53">
        <f>'DOE25'!J204+'DOE25'!J222+'DOE25'!J240</f>
        <v>1229</v>
      </c>
      <c r="H8" s="53">
        <f>'DOE25'!K204+'DOE25'!K222+'DOE25'!K240</f>
        <v>29085.07</v>
      </c>
      <c r="I8" s="256"/>
    </row>
    <row r="9" spans="1:9" ht="14.25" x14ac:dyDescent="0.2">
      <c r="A9" s="32">
        <v>2310</v>
      </c>
      <c r="B9" s="185" t="s">
        <v>890</v>
      </c>
      <c r="C9" s="276">
        <f t="shared" si="0"/>
        <v>282135.36</v>
      </c>
      <c r="D9" s="244">
        <v>282135.36</v>
      </c>
      <c r="E9" s="243"/>
      <c r="F9" s="253"/>
      <c r="G9" s="253"/>
      <c r="H9" s="253"/>
      <c r="I9" s="256"/>
    </row>
    <row r="10" spans="1:9" ht="14.25" x14ac:dyDescent="0.2">
      <c r="A10" s="32">
        <v>2317</v>
      </c>
      <c r="B10" s="185" t="s">
        <v>891</v>
      </c>
      <c r="C10" s="276">
        <f t="shared" si="0"/>
        <v>59032.75</v>
      </c>
      <c r="D10" s="243"/>
      <c r="E10" s="244">
        <f>55482.75+3550</f>
        <v>59032.75</v>
      </c>
      <c r="F10" s="253"/>
      <c r="G10" s="253"/>
      <c r="H10" s="253"/>
      <c r="I10" s="256"/>
    </row>
    <row r="11" spans="1:9" ht="14.25" x14ac:dyDescent="0.2">
      <c r="A11" s="32">
        <v>2321</v>
      </c>
      <c r="B11" s="185" t="s">
        <v>892</v>
      </c>
      <c r="C11" s="276">
        <f t="shared" si="0"/>
        <v>254929.46</v>
      </c>
      <c r="D11" s="244">
        <v>254929.46</v>
      </c>
      <c r="E11" s="243"/>
      <c r="F11" s="253"/>
      <c r="G11" s="253"/>
      <c r="H11" s="253"/>
      <c r="I11" s="256"/>
    </row>
    <row r="12" spans="1:9" x14ac:dyDescent="0.2">
      <c r="A12" s="32">
        <v>2400</v>
      </c>
      <c r="B12" t="s">
        <v>711</v>
      </c>
      <c r="C12" s="276">
        <f t="shared" si="0"/>
        <v>1801114.9100000001</v>
      </c>
      <c r="D12" s="20">
        <f>'DOE25'!L205+'DOE25'!L223+'DOE25'!L241-F12-G12-H12</f>
        <v>1789097.4100000001</v>
      </c>
      <c r="E12" s="243"/>
      <c r="F12" s="244"/>
      <c r="G12" s="53">
        <f>'DOE25'!J205+'DOE25'!J223+'DOE25'!J241</f>
        <v>6213.4999999999991</v>
      </c>
      <c r="H12" s="53">
        <f>'DOE25'!K205+'DOE25'!K223+'DOE25'!K241</f>
        <v>5804</v>
      </c>
      <c r="I12" s="256"/>
    </row>
    <row r="13" spans="1:9" x14ac:dyDescent="0.2">
      <c r="A13" s="32">
        <v>2500</v>
      </c>
      <c r="B13" t="s">
        <v>798</v>
      </c>
      <c r="C13" s="276">
        <f t="shared" si="0"/>
        <v>821690.26</v>
      </c>
      <c r="D13" s="243"/>
      <c r="E13" s="20">
        <f>'DOE25'!L206+'DOE25'!L224+'DOE25'!L242-F13-G13-H13</f>
        <v>800419.75</v>
      </c>
      <c r="F13" s="244"/>
      <c r="G13" s="53">
        <f>'DOE25'!J206+'DOE25'!J224+'DOE25'!J242</f>
        <v>21070.51</v>
      </c>
      <c r="H13" s="53">
        <f>'DOE25'!K206+'DOE25'!K224+'DOE25'!K242</f>
        <v>200</v>
      </c>
      <c r="I13" s="256"/>
    </row>
    <row r="14" spans="1:9" x14ac:dyDescent="0.2">
      <c r="A14" s="32">
        <v>2600</v>
      </c>
      <c r="B14" t="s">
        <v>819</v>
      </c>
      <c r="C14" s="276">
        <f t="shared" si="0"/>
        <v>2411088.54</v>
      </c>
      <c r="D14" s="20">
        <f>'DOE25'!L207+'DOE25'!L225+'DOE25'!L243-F14-G14-H14</f>
        <v>1597256.56</v>
      </c>
      <c r="E14" s="243"/>
      <c r="F14" s="244">
        <v>793654.96</v>
      </c>
      <c r="G14" s="53">
        <f>'DOE25'!J207+'DOE25'!J225+'DOE25'!J243</f>
        <v>20177.02</v>
      </c>
      <c r="H14" s="53">
        <f>'DOE25'!K207+'DOE25'!K225+'DOE25'!K243</f>
        <v>0</v>
      </c>
      <c r="I14" s="256"/>
    </row>
    <row r="15" spans="1:9" x14ac:dyDescent="0.2">
      <c r="A15" s="32">
        <v>2700</v>
      </c>
      <c r="B15" t="s">
        <v>799</v>
      </c>
      <c r="C15" s="276">
        <f t="shared" si="0"/>
        <v>1908304.04</v>
      </c>
      <c r="D15" s="20">
        <f>'DOE25'!L208+'DOE25'!L226+'DOE25'!L244-F15-G15-H15</f>
        <v>705357.96</v>
      </c>
      <c r="E15" s="243"/>
      <c r="F15" s="244">
        <v>1202946.08</v>
      </c>
      <c r="G15" s="53">
        <f>'DOE25'!J208+'DOE25'!J226+'DOE25'!J244</f>
        <v>0</v>
      </c>
      <c r="H15" s="53">
        <f>'DOE25'!K208+'DOE25'!K226+'DOE25'!K244</f>
        <v>0</v>
      </c>
      <c r="I15" s="256"/>
    </row>
    <row r="16" spans="1:9" x14ac:dyDescent="0.2">
      <c r="A16" s="32">
        <v>2800</v>
      </c>
      <c r="B16" t="s">
        <v>800</v>
      </c>
      <c r="C16" s="276">
        <f t="shared" si="0"/>
        <v>1394676.46</v>
      </c>
      <c r="D16" s="243"/>
      <c r="E16" s="20">
        <f>'DOE25'!L209+'DOE25'!L227+'DOE25'!L245-F16-G16-H16</f>
        <v>1060131.69</v>
      </c>
      <c r="F16" s="244">
        <v>76620.36</v>
      </c>
      <c r="G16" s="53">
        <f>'DOE25'!J209+'DOE25'!J227+'DOE25'!J245</f>
        <v>257924.41000000003</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530644.17999999993</v>
      </c>
      <c r="D29" s="284">
        <f>'DOE25'!L358+'DOE25'!L359+'DOE25'!L360-'DOE25'!I367-F29-G29-H29</f>
        <v>527597.92999999993</v>
      </c>
      <c r="E29" s="243"/>
      <c r="F29" s="244"/>
      <c r="G29" s="53">
        <f>'DOE25'!J358+'DOE25'!J359+'DOE25'!J360</f>
        <v>1547.74</v>
      </c>
      <c r="H29" s="53">
        <f>'DOE25'!K358+'DOE25'!K359+'DOE25'!K360</f>
        <v>1498.51</v>
      </c>
      <c r="I29" s="256"/>
    </row>
    <row r="30" spans="1:9" x14ac:dyDescent="0.2">
      <c r="A30" s="32"/>
      <c r="C30" s="277"/>
      <c r="D30" s="20"/>
      <c r="E30" s="281"/>
      <c r="F30" s="271"/>
      <c r="G30" s="53"/>
      <c r="H30" s="53"/>
      <c r="I30" s="256"/>
    </row>
    <row r="31" spans="1:9" x14ac:dyDescent="0.2">
      <c r="A31" s="32" t="s">
        <v>818</v>
      </c>
      <c r="B31" t="s">
        <v>817</v>
      </c>
      <c r="C31" s="276">
        <f>SUM(D31:I31)</f>
        <v>1484137.3199999998</v>
      </c>
      <c r="D31" s="20">
        <f>'DOE25'!L290+'DOE25'!L309+'DOE25'!L328+'DOE25'!L333+'DOE25'!L334+'DOE25'!L335-F31-G31-H31</f>
        <v>1284735.28</v>
      </c>
      <c r="E31" s="243"/>
      <c r="F31" s="244">
        <v>93235</v>
      </c>
      <c r="G31" s="53">
        <f>'DOE25'!J290+'DOE25'!J309+'DOE25'!J328+'DOE25'!J333+'DOE25'!J334+'DOE25'!J335</f>
        <v>55423.15</v>
      </c>
      <c r="H31" s="53">
        <f>'DOE25'!K290+'DOE25'!K309+'DOE25'!K328+'DOE25'!K333+'DOE25'!K334+'DOE25'!K335</f>
        <v>50743.89</v>
      </c>
      <c r="I31" s="256"/>
    </row>
    <row r="32" spans="1:9" ht="12" thickBot="1" x14ac:dyDescent="0.25">
      <c r="C32" s="277"/>
      <c r="G32" s="251"/>
      <c r="H32" s="251"/>
      <c r="I32" s="258"/>
    </row>
    <row r="33" spans="1:9" ht="12" thickTop="1" x14ac:dyDescent="0.2">
      <c r="B33" t="s">
        <v>809</v>
      </c>
      <c r="D33" s="245">
        <f t="shared" ref="D33:I33" si="1">SUM(D5:D31)</f>
        <v>27517606.580000002</v>
      </c>
      <c r="E33" s="245">
        <f t="shared" si="1"/>
        <v>1915545.3</v>
      </c>
      <c r="F33" s="245">
        <f t="shared" si="1"/>
        <v>2409906.61</v>
      </c>
      <c r="G33" s="245">
        <f t="shared" si="1"/>
        <v>455295.41000000003</v>
      </c>
      <c r="H33" s="245">
        <f t="shared" si="1"/>
        <v>143299.25999999998</v>
      </c>
      <c r="I33" s="245">
        <f t="shared" si="1"/>
        <v>0</v>
      </c>
    </row>
    <row r="35" spans="1:9" ht="12" thickBot="1" x14ac:dyDescent="0.25">
      <c r="B35" s="251" t="s">
        <v>831</v>
      </c>
      <c r="D35" s="252">
        <f>E33</f>
        <v>1915545.3</v>
      </c>
      <c r="E35" s="248"/>
    </row>
    <row r="36" spans="1:9" ht="12" thickTop="1" x14ac:dyDescent="0.2">
      <c r="B36" t="s">
        <v>810</v>
      </c>
      <c r="D36" s="20">
        <f>D33</f>
        <v>27517606.580000002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B8" sqref="B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Monadnock Regional School District</v>
      </c>
      <c r="B2" s="126">
        <f>'DOE25'!B2</f>
        <v>363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18236036.109999999</v>
      </c>
      <c r="G4" s="303">
        <f>'DOE25'!L211+'DOE25'!L290</f>
        <v>18236036.109999996</v>
      </c>
      <c r="H4" s="304">
        <f>F4-G4</f>
        <v>0</v>
      </c>
      <c r="I4" s="310" t="str">
        <f>IF(H4=0,"","Does not match DOE25 page 7 and 11 Totals!!")</f>
        <v/>
      </c>
      <c r="N4"/>
    </row>
    <row r="5" spans="1:18" x14ac:dyDescent="0.2">
      <c r="A5" s="21" t="s">
        <v>1294</v>
      </c>
      <c r="B5" s="305">
        <f>IFERROR(VLOOKUP(A5,'School Tables'!$C$3:$D$368,2,FALSE),"")</f>
        <v>21695</v>
      </c>
      <c r="C5" s="297" t="str">
        <f>IFERROR(INDEX('School Tables'!$B$3:$B$368,MATCH('School Level Expenditures'!B5,'School Tables'!$D$3:$D$368,0)),"")</f>
        <v>Monadnock Regional</v>
      </c>
      <c r="D5" s="294">
        <v>4727506.45</v>
      </c>
      <c r="E5" s="294">
        <v>307676.21999999997</v>
      </c>
      <c r="F5" s="313">
        <f>D5+E5</f>
        <v>5035182.67</v>
      </c>
      <c r="G5" s="297"/>
      <c r="H5" s="297"/>
      <c r="I5" s="126"/>
      <c r="N5"/>
    </row>
    <row r="6" spans="1:18" x14ac:dyDescent="0.2">
      <c r="A6" s="21" t="s">
        <v>1296</v>
      </c>
      <c r="B6" s="305">
        <f>IFERROR(VLOOKUP(A6,'School Tables'!$C$3:$D$368,2,FALSE),"")</f>
        <v>21715</v>
      </c>
      <c r="C6" s="297" t="str">
        <f>IFERROR(INDEX('School Tables'!$B$3:$B$368,MATCH('School Level Expenditures'!B6,'School Tables'!$D$3:$D$368,0)),"")</f>
        <v>Monadnock Regional</v>
      </c>
      <c r="D6" s="294">
        <v>4922272.63</v>
      </c>
      <c r="E6" s="294">
        <v>320352.02</v>
      </c>
      <c r="F6" s="308">
        <f t="shared" ref="F6:F20" si="0">D6+E6</f>
        <v>5242624.6500000004</v>
      </c>
      <c r="G6" s="297"/>
      <c r="H6" s="297"/>
      <c r="I6" s="126"/>
      <c r="N6"/>
    </row>
    <row r="7" spans="1:18" x14ac:dyDescent="0.2">
      <c r="A7" s="21" t="s">
        <v>1297</v>
      </c>
      <c r="B7" s="305">
        <f>IFERROR(VLOOKUP(A7,'School Tables'!$C$3:$D$368,2,FALSE),"")</f>
        <v>21725</v>
      </c>
      <c r="C7" s="297" t="str">
        <f>IFERROR(INDEX('School Tables'!$B$3:$B$368,MATCH('School Level Expenditures'!B7,'School Tables'!$D$3:$D$368,0)),"")</f>
        <v>Monadnock Regional</v>
      </c>
      <c r="D7" s="294">
        <v>3275613.08</v>
      </c>
      <c r="E7" s="294">
        <v>213183.9</v>
      </c>
      <c r="F7" s="308">
        <f t="shared" si="0"/>
        <v>3488796.98</v>
      </c>
      <c r="G7" s="297"/>
      <c r="H7" s="297"/>
      <c r="I7" s="126"/>
      <c r="N7"/>
    </row>
    <row r="8" spans="1:18" x14ac:dyDescent="0.2">
      <c r="A8" s="21" t="s">
        <v>1298</v>
      </c>
      <c r="B8" s="305">
        <f>IFERROR(VLOOKUP(A8,'School Tables'!$C$3:$D$368,2,FALSE),"")</f>
        <v>21665</v>
      </c>
      <c r="C8" s="297" t="str">
        <f>IFERROR(INDEX('School Tables'!$B$3:$B$368,MATCH('School Level Expenditures'!B8,'School Tables'!$D$3:$D$368,0)),"")</f>
        <v>Monadnock Regional</v>
      </c>
      <c r="D8" s="294">
        <v>3187083</v>
      </c>
      <c r="E8" s="294">
        <v>207422.17</v>
      </c>
      <c r="F8" s="308">
        <f t="shared" si="0"/>
        <v>3394505.17</v>
      </c>
      <c r="G8" s="297"/>
      <c r="H8" s="297"/>
      <c r="I8" s="126"/>
      <c r="N8"/>
    </row>
    <row r="9" spans="1:18" x14ac:dyDescent="0.2">
      <c r="A9" s="21" t="s">
        <v>1299</v>
      </c>
      <c r="B9" s="305">
        <f>IFERROR(VLOOKUP(A9,'School Tables'!$C$3:$D$368,2,FALSE),"")</f>
        <v>21670</v>
      </c>
      <c r="C9" s="297" t="str">
        <f>IFERROR(INDEX('School Tables'!$B$3:$B$368,MATCH('School Level Expenditures'!B9,'School Tables'!$D$3:$D$368,0)),"")</f>
        <v>Monadnock Regional</v>
      </c>
      <c r="D9" s="294">
        <v>1009242.95</v>
      </c>
      <c r="E9" s="294">
        <v>65683.69</v>
      </c>
      <c r="F9" s="308">
        <f t="shared" si="0"/>
        <v>1074926.6399999999</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4277873.75</v>
      </c>
      <c r="G24" s="303">
        <f>'DOE25'!L229+'DOE25'!L309</f>
        <v>4277873.75</v>
      </c>
      <c r="H24" s="304">
        <f>F24-G24</f>
        <v>0</v>
      </c>
      <c r="I24" s="310" t="str">
        <f>IF(H24=0,"","Does not match DOE25 page 8 and 12 Totals!!")</f>
        <v/>
      </c>
      <c r="N24"/>
    </row>
    <row r="25" spans="1:14" x14ac:dyDescent="0.2">
      <c r="A25" s="21" t="s">
        <v>1293</v>
      </c>
      <c r="B25" s="305">
        <f>IFERROR(VLOOKUP(A25,'School Tables'!$I$3:$J$80,2,FALSE),"")</f>
        <v>26980</v>
      </c>
      <c r="C25" s="297" t="str">
        <f t="array" ref="C25">IFERROR(INDEX('School Tables'!$H$3:$H$80,MATCH('School Level Expenditures'!B25,'School Tables'!$J$3:$J$80,0)),"")</f>
        <v>Monadnock Regional</v>
      </c>
      <c r="D25" s="294">
        <v>4164894.11</v>
      </c>
      <c r="E25" s="294">
        <v>112979.64</v>
      </c>
      <c r="F25" s="308">
        <f>D25+E25</f>
        <v>4277873.75</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9332549.3699999992</v>
      </c>
      <c r="G36" s="303">
        <f>'DOE25'!L247+'DOE25'!L328</f>
        <v>9332549.3699999992</v>
      </c>
      <c r="H36" s="304">
        <f>F36-G36</f>
        <v>0</v>
      </c>
      <c r="I36" s="310" t="str">
        <f>IF(H36=0,"","Does not match DOE25 page 9 and 13 Totals!!")</f>
        <v/>
      </c>
      <c r="N36"/>
    </row>
    <row r="37" spans="1:14" x14ac:dyDescent="0.2">
      <c r="A37" s="21" t="s">
        <v>1295</v>
      </c>
      <c r="B37" s="305">
        <f>IFERROR(VLOOKUP(A37,'School Tables'!$O$3:$P$122,2,FALSE),"")</f>
        <v>21700</v>
      </c>
      <c r="C37" s="297" t="str">
        <f t="array" ref="C37">IFERROR(INDEX('School Tables'!$N$3:$N$122,MATCH('School Level Expenditures'!B37,'School Tables'!$P$3:$P$122,0)),"")</f>
        <v>Monadnock Regional</v>
      </c>
      <c r="D37" s="294">
        <v>9081226.6799999997</v>
      </c>
      <c r="E37" s="294">
        <v>251322.69</v>
      </c>
      <c r="F37" s="308">
        <f>D37+E37</f>
        <v>9332549.3699999992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Monadnock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213769</v>
      </c>
      <c r="D8" s="95">
        <f>'DOE25'!G9</f>
        <v>4509</v>
      </c>
      <c r="E8" s="95">
        <f>'DOE25'!H9</f>
        <v>10858</v>
      </c>
      <c r="F8" s="95">
        <f>'DOE25'!I9</f>
        <v>0</v>
      </c>
      <c r="G8" s="95">
        <f>'DOE25'!J9</f>
        <v>0</v>
      </c>
      <c r="H8" s="124"/>
      <c r="I8" s="124"/>
    </row>
    <row r="9" spans="1:9" x14ac:dyDescent="0.2">
      <c r="A9" s="1" t="s">
        <v>140</v>
      </c>
      <c r="B9" s="6">
        <v>110</v>
      </c>
      <c r="C9" s="95">
        <f>'DOE25'!F10</f>
        <v>3031065</v>
      </c>
      <c r="D9" s="95">
        <f>'DOE25'!G10</f>
        <v>0</v>
      </c>
      <c r="E9" s="95">
        <f>'DOE25'!H10</f>
        <v>0</v>
      </c>
      <c r="F9" s="95">
        <f>'DOE25'!I10</f>
        <v>0</v>
      </c>
      <c r="G9" s="95">
        <f>'DOE25'!J10</f>
        <v>0</v>
      </c>
      <c r="H9" s="124"/>
      <c r="I9" s="124"/>
    </row>
    <row r="10" spans="1:9" x14ac:dyDescent="0.2">
      <c r="A10" s="1" t="s">
        <v>141</v>
      </c>
      <c r="B10" s="6">
        <v>120</v>
      </c>
      <c r="C10" s="95">
        <f>'DOE25'!F11</f>
        <v>1060.22</v>
      </c>
      <c r="D10" s="24" t="s">
        <v>288</v>
      </c>
      <c r="E10" s="24" t="s">
        <v>288</v>
      </c>
      <c r="F10" s="24" t="s">
        <v>288</v>
      </c>
      <c r="G10" s="24" t="s">
        <v>288</v>
      </c>
      <c r="H10" s="124"/>
      <c r="I10" s="124"/>
    </row>
    <row r="11" spans="1:9" x14ac:dyDescent="0.2">
      <c r="A11" s="1" t="s">
        <v>142</v>
      </c>
      <c r="B11" s="6">
        <v>130</v>
      </c>
      <c r="C11" s="95">
        <f>'DOE25'!F12</f>
        <v>-716721</v>
      </c>
      <c r="D11" s="95">
        <f>'DOE25'!G12</f>
        <v>229418</v>
      </c>
      <c r="E11" s="95">
        <f>'DOE25'!H12</f>
        <v>0</v>
      </c>
      <c r="F11" s="95">
        <f>'DOE25'!I12</f>
        <v>912226.78</v>
      </c>
      <c r="G11" s="95">
        <f>'DOE25'!J12</f>
        <v>0</v>
      </c>
      <c r="H11" s="124"/>
      <c r="I11" s="124"/>
    </row>
    <row r="12" spans="1:9" x14ac:dyDescent="0.2">
      <c r="A12" s="1" t="s">
        <v>143</v>
      </c>
      <c r="B12" s="6">
        <v>140</v>
      </c>
      <c r="C12" s="95">
        <f>'DOE25'!F13</f>
        <v>1007726</v>
      </c>
      <c r="D12" s="95">
        <f>'DOE25'!G13</f>
        <v>19724</v>
      </c>
      <c r="E12" s="95">
        <f>'DOE25'!H13</f>
        <v>722196</v>
      </c>
      <c r="F12" s="95">
        <f>'DOE25'!I13</f>
        <v>0</v>
      </c>
      <c r="G12" s="95">
        <f>'DOE25'!J13</f>
        <v>517253.54</v>
      </c>
      <c r="H12" s="124"/>
      <c r="I12" s="124"/>
    </row>
    <row r="13" spans="1:9" x14ac:dyDescent="0.2">
      <c r="A13" s="1" t="s">
        <v>144</v>
      </c>
      <c r="B13" s="6">
        <v>150</v>
      </c>
      <c r="C13" s="95">
        <f>'DOE25'!F14</f>
        <v>11194</v>
      </c>
      <c r="D13" s="95">
        <f>'DOE25'!G14</f>
        <v>11043</v>
      </c>
      <c r="E13" s="95">
        <f>'DOE25'!H14</f>
        <v>28407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24588</v>
      </c>
      <c r="E15" s="95">
        <f>'DOE25'!H16</f>
        <v>0</v>
      </c>
      <c r="F15" s="95">
        <f>'DOE25'!I16</f>
        <v>0</v>
      </c>
      <c r="G15" s="24" t="s">
        <v>288</v>
      </c>
      <c r="H15" s="124"/>
      <c r="I15" s="124"/>
    </row>
    <row r="16" spans="1:9" x14ac:dyDescent="0.2">
      <c r="A16" s="1" t="s">
        <v>147</v>
      </c>
      <c r="B16" s="6">
        <v>180</v>
      </c>
      <c r="C16" s="95">
        <f>'DOE25'!F17</f>
        <v>3312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3551405.22</v>
      </c>
      <c r="D18" s="41">
        <f>SUM(D8:D17)</f>
        <v>289282</v>
      </c>
      <c r="E18" s="41">
        <f>SUM(E8:E17)</f>
        <v>761461</v>
      </c>
      <c r="F18" s="41">
        <f>SUM(F8:F17)</f>
        <v>912226.78</v>
      </c>
      <c r="G18" s="41">
        <f>SUM(G8:G17)</f>
        <v>517253.54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599211</v>
      </c>
      <c r="F21" s="95">
        <f>'DOE25'!I22</f>
        <v>0</v>
      </c>
      <c r="G21" s="95">
        <f>'DOE25'!J22</f>
        <v>0</v>
      </c>
      <c r="H21" s="124"/>
      <c r="I21" s="124"/>
    </row>
    <row r="22" spans="1:9" x14ac:dyDescent="0.2">
      <c r="A22" s="1" t="s">
        <v>151</v>
      </c>
      <c r="B22" s="6">
        <v>410</v>
      </c>
      <c r="C22" s="95">
        <f>'DOE25'!F23</f>
        <v>441571</v>
      </c>
      <c r="D22" s="95">
        <f>'DOE25'!G23</f>
        <v>0</v>
      </c>
      <c r="E22" s="95">
        <f>'DOE25'!H23</f>
        <v>0</v>
      </c>
      <c r="F22" s="95">
        <f>'DOE25'!I23</f>
        <v>0</v>
      </c>
      <c r="G22" s="95">
        <f>'DOE25'!J23</f>
        <v>0</v>
      </c>
      <c r="H22" s="124"/>
      <c r="I22" s="124"/>
    </row>
    <row r="23" spans="1:9" x14ac:dyDescent="0.2">
      <c r="A23" s="1" t="s">
        <v>152</v>
      </c>
      <c r="B23" s="6">
        <v>420</v>
      </c>
      <c r="C23" s="95">
        <f>'DOE25'!F24</f>
        <v>365997</v>
      </c>
      <c r="D23" s="95">
        <f>'DOE25'!G24</f>
        <v>12580</v>
      </c>
      <c r="E23" s="95">
        <f>'DOE25'!H24</f>
        <v>46336</v>
      </c>
      <c r="F23" s="95">
        <f>'DOE25'!I24</f>
        <v>130866</v>
      </c>
      <c r="G23" s="95">
        <f>'DOE25'!J24</f>
        <v>0</v>
      </c>
      <c r="H23" s="124"/>
      <c r="I23" s="124"/>
    </row>
    <row r="24" spans="1:9" x14ac:dyDescent="0.2">
      <c r="A24" s="1" t="s">
        <v>153</v>
      </c>
      <c r="B24" s="6">
        <v>430</v>
      </c>
      <c r="C24" s="95">
        <f>'DOE25'!F25</f>
        <v>0</v>
      </c>
      <c r="D24" s="95">
        <f>'DOE25'!G25</f>
        <v>0</v>
      </c>
      <c r="E24" s="95">
        <f>'DOE25'!H25</f>
        <v>0</v>
      </c>
      <c r="F24" s="95">
        <f>'DOE25'!I25</f>
        <v>74733</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711605</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35157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1519173</v>
      </c>
      <c r="D31" s="41">
        <f>SUM(D21:D30)</f>
        <v>12580</v>
      </c>
      <c r="E31" s="41">
        <f>SUM(E21:E30)</f>
        <v>680704</v>
      </c>
      <c r="F31" s="41">
        <f>SUM(F21:F30)</f>
        <v>205599</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24588</v>
      </c>
      <c r="E34" s="95">
        <f>'DOE25'!H35</f>
        <v>0</v>
      </c>
      <c r="F34" s="95">
        <f>'DOE25'!I35</f>
        <v>0</v>
      </c>
      <c r="G34" s="24" t="s">
        <v>288</v>
      </c>
      <c r="H34" s="124"/>
      <c r="I34" s="124"/>
    </row>
    <row r="35" spans="1:9" x14ac:dyDescent="0.2">
      <c r="A35" s="1" t="s">
        <v>850</v>
      </c>
      <c r="B35" s="6">
        <v>752</v>
      </c>
      <c r="C35" s="95">
        <f>'DOE25'!F36</f>
        <v>3312</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252114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706627.78</v>
      </c>
      <c r="G42" s="95">
        <f>'DOE25'!J43</f>
        <v>0</v>
      </c>
      <c r="H42" s="124"/>
      <c r="I42" s="124"/>
    </row>
    <row r="43" spans="1:9" x14ac:dyDescent="0.2">
      <c r="A43" s="1" t="s">
        <v>863</v>
      </c>
      <c r="B43" s="6">
        <v>755</v>
      </c>
      <c r="C43" s="95">
        <f>'DOE25'!F44</f>
        <v>1</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80757</v>
      </c>
      <c r="F47" s="95">
        <f>'DOE25'!I48</f>
        <v>0</v>
      </c>
      <c r="G47" s="95">
        <f>'DOE25'!J48</f>
        <v>517253.54</v>
      </c>
      <c r="H47" s="124"/>
      <c r="I47" s="124"/>
    </row>
    <row r="48" spans="1:9" x14ac:dyDescent="0.2">
      <c r="A48" s="1" t="s">
        <v>882</v>
      </c>
      <c r="B48" s="6">
        <v>753</v>
      </c>
      <c r="C48" s="95">
        <f>'DOE25'!F49</f>
        <v>730559</v>
      </c>
      <c r="D48" s="95">
        <f>'DOE25'!G49</f>
        <v>0</v>
      </c>
      <c r="E48" s="95">
        <f>'DOE25'!H49</f>
        <v>0</v>
      </c>
      <c r="F48" s="95">
        <f>'DOE25'!I49</f>
        <v>0</v>
      </c>
      <c r="G48" s="95">
        <f>'DOE25'!J49</f>
        <v>0</v>
      </c>
      <c r="H48" s="124"/>
      <c r="I48" s="124"/>
    </row>
    <row r="49" spans="1:9" ht="12" thickBot="1" x14ac:dyDescent="0.25">
      <c r="A49" s="29" t="s">
        <v>883</v>
      </c>
      <c r="B49" s="71">
        <v>770</v>
      </c>
      <c r="C49" s="95">
        <f>'DOE25'!F50</f>
        <v>1298360.22</v>
      </c>
      <c r="D49" s="24" t="s">
        <v>288</v>
      </c>
      <c r="E49" s="24" t="s">
        <v>288</v>
      </c>
      <c r="F49" s="24" t="s">
        <v>288</v>
      </c>
      <c r="G49" s="24" t="s">
        <v>288</v>
      </c>
      <c r="H49" s="124"/>
      <c r="I49" s="124"/>
    </row>
    <row r="50" spans="1:9" ht="12.75" thickTop="1" thickBot="1" x14ac:dyDescent="0.25">
      <c r="A50" s="38" t="s">
        <v>884</v>
      </c>
      <c r="B50" s="48"/>
      <c r="C50" s="41">
        <f>SUM(C34:C49)</f>
        <v>2032232.22</v>
      </c>
      <c r="D50" s="41">
        <f>SUM(D34:D49)</f>
        <v>276702</v>
      </c>
      <c r="E50" s="41">
        <f>SUM(E34:E49)</f>
        <v>80757</v>
      </c>
      <c r="F50" s="41">
        <f>SUM(F34:F49)</f>
        <v>706627.78</v>
      </c>
      <c r="G50" s="41">
        <f>SUM(G34:G49)</f>
        <v>517253.54</v>
      </c>
      <c r="H50" s="124"/>
      <c r="I50" s="124"/>
    </row>
    <row r="51" spans="1:9" ht="12" thickTop="1" x14ac:dyDescent="0.2">
      <c r="A51" s="38" t="s">
        <v>885</v>
      </c>
      <c r="B51" s="2"/>
      <c r="C51" s="41">
        <f>C50+C31</f>
        <v>3551405.2199999997</v>
      </c>
      <c r="D51" s="41">
        <f>D50+D31</f>
        <v>289282</v>
      </c>
      <c r="E51" s="41">
        <f>E50+E31</f>
        <v>761461</v>
      </c>
      <c r="F51" s="41">
        <f>F50+F31</f>
        <v>912226.78</v>
      </c>
      <c r="G51" s="41">
        <f>G50+G31</f>
        <v>517253.54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18681303.939999998</v>
      </c>
      <c r="D56" s="95">
        <f>'DOE25'!G60</f>
        <v>0</v>
      </c>
      <c r="E56" s="95">
        <f>'DOE25'!H60</f>
        <v>0</v>
      </c>
      <c r="F56" s="95">
        <f>'DOE25'!I60</f>
        <v>0</v>
      </c>
      <c r="G56" s="95">
        <f>'DOE25'!J60</f>
        <v>0</v>
      </c>
      <c r="H56"/>
      <c r="I56"/>
    </row>
    <row r="57" spans="1:9" x14ac:dyDescent="0.2">
      <c r="A57" s="1" t="s">
        <v>164</v>
      </c>
      <c r="B57" s="6" t="s">
        <v>165</v>
      </c>
      <c r="C57" s="95">
        <f>'DOE25'!F79</f>
        <v>106210.18</v>
      </c>
      <c r="D57" s="24" t="s">
        <v>288</v>
      </c>
      <c r="E57" s="95">
        <f>'DOE25'!H79</f>
        <v>117785.96999999999</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44992.53</v>
      </c>
      <c r="D59" s="95">
        <f>'DOE25'!G96</f>
        <v>0</v>
      </c>
      <c r="E59" s="95">
        <f>'DOE25'!H96</f>
        <v>0</v>
      </c>
      <c r="F59" s="95">
        <f>'DOE25'!I96</f>
        <v>0</v>
      </c>
      <c r="G59" s="95">
        <f>'DOE25'!J96</f>
        <v>10516.76</v>
      </c>
      <c r="H59"/>
      <c r="I59"/>
    </row>
    <row r="60" spans="1:9" x14ac:dyDescent="0.2">
      <c r="A60" s="1" t="s">
        <v>170</v>
      </c>
      <c r="B60" s="118" t="s">
        <v>171</v>
      </c>
      <c r="C60" s="24" t="s">
        <v>288</v>
      </c>
      <c r="D60" s="95">
        <f>'DOE25'!G97</f>
        <v>413570.69</v>
      </c>
      <c r="E60" s="24" t="s">
        <v>288</v>
      </c>
      <c r="F60" s="24" t="s">
        <v>288</v>
      </c>
      <c r="G60" s="24" t="s">
        <v>288</v>
      </c>
      <c r="H60"/>
      <c r="I60"/>
    </row>
    <row r="61" spans="1:9" ht="12" thickBot="1" x14ac:dyDescent="0.25">
      <c r="A61" s="1" t="s">
        <v>172</v>
      </c>
      <c r="B61" s="118" t="s">
        <v>173</v>
      </c>
      <c r="C61" s="95">
        <f>SUM('DOE25'!F98:F110)</f>
        <v>124367.14000000001</v>
      </c>
      <c r="D61" s="95">
        <f>SUM('DOE25'!G98:G110)</f>
        <v>0</v>
      </c>
      <c r="E61" s="95">
        <f>SUM('DOE25'!H98:H110)</f>
        <v>6590.54</v>
      </c>
      <c r="F61" s="95">
        <f>SUM('DOE25'!I98:I110)</f>
        <v>0</v>
      </c>
      <c r="G61" s="95">
        <f>SUM('DOE25'!J98:J110)</f>
        <v>0</v>
      </c>
      <c r="H61"/>
      <c r="I61"/>
    </row>
    <row r="62" spans="1:9" ht="12.75" thickTop="1" thickBot="1" x14ac:dyDescent="0.25">
      <c r="A62" s="29" t="s">
        <v>174</v>
      </c>
      <c r="B62" s="6"/>
      <c r="C62" s="130">
        <f>SUM(C57:C61)</f>
        <v>275569.84999999998</v>
      </c>
      <c r="D62" s="130">
        <f>SUM(D57:D61)</f>
        <v>413570.69</v>
      </c>
      <c r="E62" s="130">
        <f>SUM(E57:E61)</f>
        <v>124376.50999999998</v>
      </c>
      <c r="F62" s="130">
        <f>SUM(F57:F61)</f>
        <v>0</v>
      </c>
      <c r="G62" s="130">
        <f>SUM(G57:G61)</f>
        <v>10516.76</v>
      </c>
      <c r="H62"/>
      <c r="I62"/>
    </row>
    <row r="63" spans="1:9" ht="12" thickTop="1" x14ac:dyDescent="0.2">
      <c r="A63" s="29" t="s">
        <v>175</v>
      </c>
      <c r="B63" s="6"/>
      <c r="C63" s="22">
        <f>C56+C62</f>
        <v>18956873.789999999</v>
      </c>
      <c r="D63" s="22">
        <f>D56+D62</f>
        <v>413570.69</v>
      </c>
      <c r="E63" s="22">
        <f>E56+E62</f>
        <v>124376.50999999998</v>
      </c>
      <c r="F63" s="22">
        <f>F56+F62</f>
        <v>0</v>
      </c>
      <c r="G63" s="22">
        <f>G56+G62</f>
        <v>10516.76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9024662.1500000004</v>
      </c>
      <c r="D66" s="24" t="s">
        <v>288</v>
      </c>
      <c r="E66" s="24" t="s">
        <v>288</v>
      </c>
      <c r="F66" s="24" t="s">
        <v>288</v>
      </c>
      <c r="G66" s="24" t="s">
        <v>288</v>
      </c>
      <c r="H66"/>
      <c r="I66"/>
    </row>
    <row r="67" spans="1:9" x14ac:dyDescent="0.2">
      <c r="A67" s="1" t="s">
        <v>770</v>
      </c>
      <c r="B67" s="6">
        <v>3112</v>
      </c>
      <c r="C67" s="95">
        <f>'DOE25'!F118</f>
        <v>2303338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14067.02</v>
      </c>
      <c r="D69" s="95">
        <f>'DOE25'!G120</f>
        <v>0</v>
      </c>
      <c r="E69" s="95">
        <f>'DOE25'!H120</f>
        <v>0</v>
      </c>
      <c r="F69" s="95">
        <f>'DOE25'!I120</f>
        <v>0</v>
      </c>
      <c r="G69" s="95">
        <f>'DOE25'!J120</f>
        <v>0</v>
      </c>
      <c r="H69"/>
      <c r="I69"/>
    </row>
    <row r="70" spans="1:9" ht="12" thickTop="1" x14ac:dyDescent="0.2">
      <c r="A70" s="29" t="s">
        <v>252</v>
      </c>
      <c r="B70" s="2"/>
      <c r="C70" s="139">
        <f>SUM(C66:C69)</f>
        <v>11342067.17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141514.34</v>
      </c>
      <c r="D74" s="24"/>
      <c r="E74" s="24"/>
      <c r="F74" s="24"/>
      <c r="G74" s="24"/>
      <c r="H74"/>
      <c r="I74"/>
    </row>
    <row r="75" spans="1:9" x14ac:dyDescent="0.2">
      <c r="A75" s="1" t="s">
        <v>256</v>
      </c>
      <c r="B75" s="6">
        <v>3230</v>
      </c>
      <c r="C75" s="95">
        <f>'DOE25'!F126</f>
        <v>297236.02</v>
      </c>
      <c r="D75" s="24" t="s">
        <v>288</v>
      </c>
      <c r="E75" s="24" t="s">
        <v>288</v>
      </c>
      <c r="F75" s="24" t="s">
        <v>288</v>
      </c>
      <c r="G75" s="24" t="s">
        <v>288</v>
      </c>
      <c r="H75"/>
      <c r="I75"/>
    </row>
    <row r="76" spans="1:9" x14ac:dyDescent="0.2">
      <c r="A76" s="1" t="s">
        <v>257</v>
      </c>
      <c r="B76" s="6" t="s">
        <v>179</v>
      </c>
      <c r="C76" s="95">
        <f>SUM('DOE25'!F127:F130)</f>
        <v>7174.67</v>
      </c>
      <c r="D76" s="24" t="s">
        <v>288</v>
      </c>
      <c r="E76" s="95">
        <f>SUM('DOE25'!H127:H130)</f>
        <v>0</v>
      </c>
      <c r="F76" s="95">
        <f>SUM('DOE25'!I127:I130)</f>
        <v>0</v>
      </c>
      <c r="G76" s="24" t="s">
        <v>288</v>
      </c>
      <c r="H76"/>
      <c r="I76"/>
    </row>
    <row r="77" spans="1:9" ht="12" thickBot="1" x14ac:dyDescent="0.25">
      <c r="A77" s="1" t="s">
        <v>258</v>
      </c>
      <c r="B77" s="6" t="s">
        <v>180</v>
      </c>
      <c r="C77" s="95">
        <f>SUM('DOE25'!F131:F135)</f>
        <v>77755</v>
      </c>
      <c r="D77" s="95">
        <f>SUM('DOE25'!G131:G135)</f>
        <v>11449.86</v>
      </c>
      <c r="E77" s="95">
        <f>SUM('DOE25'!H131:H135)</f>
        <v>0</v>
      </c>
      <c r="F77" s="95">
        <f>SUM('DOE25'!I131:I135)</f>
        <v>0</v>
      </c>
      <c r="G77" s="95">
        <f>SUM('DOE25'!J131:J135)</f>
        <v>0</v>
      </c>
      <c r="H77"/>
      <c r="I77"/>
    </row>
    <row r="78" spans="1:9" ht="12.75" thickTop="1" thickBot="1" x14ac:dyDescent="0.25">
      <c r="A78" s="29" t="s">
        <v>259</v>
      </c>
      <c r="B78" s="6"/>
      <c r="C78" s="130">
        <f>SUM(C72:C77)</f>
        <v>523680.02999999997</v>
      </c>
      <c r="D78" s="130">
        <f>SUM(D72:D77)</f>
        <v>11449.86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11865747.199999999</v>
      </c>
      <c r="D81" s="130">
        <f>SUM(D79:D80)+D78+D70</f>
        <v>11449.86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556186.59</v>
      </c>
      <c r="D88" s="95">
        <f>SUM('DOE25'!G153:G161)</f>
        <v>469629.04</v>
      </c>
      <c r="E88" s="95">
        <f>SUM('DOE25'!H153:H161)</f>
        <v>1361445.81</v>
      </c>
      <c r="F88" s="95">
        <f>SUM('DOE25'!I153:I161)</f>
        <v>0</v>
      </c>
      <c r="G88" s="24" t="s">
        <v>288</v>
      </c>
    </row>
    <row r="89" spans="1:9" x14ac:dyDescent="0.2">
      <c r="A89" t="s">
        <v>748</v>
      </c>
      <c r="B89" s="32" t="s">
        <v>185</v>
      </c>
      <c r="C89" s="95">
        <f>'DOE25'!F163+'DOE25'!F166+'DOE25'!F168</f>
        <v>49500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605686.59</v>
      </c>
      <c r="D91" s="131">
        <f>SUM(D85:D90)</f>
        <v>469629.04</v>
      </c>
      <c r="E91" s="131">
        <f>SUM(E85:E90)</f>
        <v>1361445.81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1766792</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1766792</v>
      </c>
      <c r="G103" s="86">
        <f>SUM(G93:G102)</f>
        <v>0</v>
      </c>
    </row>
    <row r="104" spans="1:7" ht="12.75" thickTop="1" thickBot="1" x14ac:dyDescent="0.25">
      <c r="A104" s="33" t="s">
        <v>761</v>
      </c>
      <c r="C104" s="86">
        <f>C63+C81+C91+C103</f>
        <v>31428307.579999998</v>
      </c>
      <c r="D104" s="86">
        <f>D63+D81+D91+D103</f>
        <v>894649.59</v>
      </c>
      <c r="E104" s="86">
        <f>E63+E81+E91+E103</f>
        <v>1485822.32</v>
      </c>
      <c r="F104" s="86">
        <f>F63+F81+F91+F103</f>
        <v>1766792</v>
      </c>
      <c r="G104" s="86">
        <f>G63+G81+G103</f>
        <v>10516.76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11028755.850000001</v>
      </c>
      <c r="D109" s="24" t="s">
        <v>288</v>
      </c>
      <c r="E109" s="95">
        <f>('DOE25'!L276)+('DOE25'!L295)+('DOE25'!L314)</f>
        <v>364310.64</v>
      </c>
      <c r="F109" s="24" t="s">
        <v>288</v>
      </c>
      <c r="G109" s="24" t="s">
        <v>288</v>
      </c>
    </row>
    <row r="110" spans="1:7" x14ac:dyDescent="0.2">
      <c r="A110" t="s">
        <v>198</v>
      </c>
      <c r="B110" s="32" t="s">
        <v>199</v>
      </c>
      <c r="C110" s="95">
        <f>('DOE25'!L198)+('DOE25'!L216)+('DOE25'!L234)</f>
        <v>7604423.8600000003</v>
      </c>
      <c r="D110" s="24" t="s">
        <v>288</v>
      </c>
      <c r="E110" s="95">
        <f>('DOE25'!L277)+('DOE25'!L296)+('DOE25'!L315)</f>
        <v>259651.78000000003</v>
      </c>
      <c r="F110" s="24" t="s">
        <v>288</v>
      </c>
      <c r="G110" s="24" t="s">
        <v>288</v>
      </c>
    </row>
    <row r="111" spans="1:7" x14ac:dyDescent="0.2">
      <c r="A111" t="s">
        <v>200</v>
      </c>
      <c r="B111" s="32" t="s">
        <v>165</v>
      </c>
      <c r="C111" s="95">
        <f>('DOE25'!L199)+('DOE25'!L217)+('DOE25'!L235)</f>
        <v>38524.080000000002</v>
      </c>
      <c r="D111" s="24" t="s">
        <v>288</v>
      </c>
      <c r="E111" s="95">
        <f>('DOE25'!L278)+('DOE25'!L297)+('DOE25'!L316)</f>
        <v>0</v>
      </c>
      <c r="F111" s="24" t="s">
        <v>288</v>
      </c>
      <c r="G111" s="24" t="s">
        <v>288</v>
      </c>
    </row>
    <row r="112" spans="1:7" x14ac:dyDescent="0.2">
      <c r="A112" t="s">
        <v>201</v>
      </c>
      <c r="B112" s="32" t="s">
        <v>167</v>
      </c>
      <c r="C112" s="95">
        <f>('DOE25'!L200)+('DOE25'!L218)+('DOE25'!L236)</f>
        <v>350239.51</v>
      </c>
      <c r="D112" s="24" t="s">
        <v>288</v>
      </c>
      <c r="E112" s="95">
        <f>+('DOE25'!L279)+('DOE25'!L298)+('DOE25'!L317)</f>
        <v>298423.38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5517</v>
      </c>
      <c r="F114" s="24" t="s">
        <v>288</v>
      </c>
      <c r="G114" s="24" t="s">
        <v>288</v>
      </c>
    </row>
    <row r="115" spans="1:7" ht="12.75" thickTop="1" thickBot="1" x14ac:dyDescent="0.25">
      <c r="A115" s="33" t="s">
        <v>205</v>
      </c>
      <c r="C115" s="86">
        <f>SUM(C109:C114)</f>
        <v>19021943.300000001</v>
      </c>
      <c r="D115" s="86">
        <f>SUM(D109:D114)</f>
        <v>0</v>
      </c>
      <c r="E115" s="86">
        <f>SUM(E109:E114)</f>
        <v>927902.8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1846126.2800000003</v>
      </c>
      <c r="D118" s="24" t="s">
        <v>288</v>
      </c>
      <c r="E118" s="95">
        <f>+('DOE25'!L281)+('DOE25'!L300)+('DOE25'!L319)</f>
        <v>29024.03</v>
      </c>
      <c r="F118" s="24" t="s">
        <v>288</v>
      </c>
      <c r="G118" s="24" t="s">
        <v>288</v>
      </c>
    </row>
    <row r="119" spans="1:7" x14ac:dyDescent="0.2">
      <c r="A119" t="s">
        <v>208</v>
      </c>
      <c r="B119" s="32" t="s">
        <v>209</v>
      </c>
      <c r="C119" s="95">
        <f>('DOE25'!L203)+('DOE25'!L221)+('DOE25'!L239)</f>
        <v>599555.12</v>
      </c>
      <c r="D119" s="24" t="s">
        <v>288</v>
      </c>
      <c r="E119" s="95">
        <f>+('DOE25'!L282)+('DOE25'!L301)+('DOE25'!L320)</f>
        <v>199758.07999999999</v>
      </c>
      <c r="F119" s="24" t="s">
        <v>288</v>
      </c>
      <c r="G119" s="24" t="s">
        <v>288</v>
      </c>
    </row>
    <row r="120" spans="1:7" x14ac:dyDescent="0.2">
      <c r="A120" t="s">
        <v>210</v>
      </c>
      <c r="B120" s="32" t="s">
        <v>211</v>
      </c>
      <c r="C120" s="95">
        <f>('DOE25'!L204)+('DOE25'!L222)+('DOE25'!L240)</f>
        <v>563340</v>
      </c>
      <c r="D120" s="24" t="s">
        <v>288</v>
      </c>
      <c r="E120" s="95">
        <f>+('DOE25'!L283)+('DOE25'!L302)+('DOE25'!L321)</f>
        <v>73520.990000000005</v>
      </c>
      <c r="F120" s="24" t="s">
        <v>288</v>
      </c>
      <c r="G120" s="24" t="s">
        <v>288</v>
      </c>
    </row>
    <row r="121" spans="1:7" x14ac:dyDescent="0.2">
      <c r="A121" t="s">
        <v>212</v>
      </c>
      <c r="B121" s="32" t="s">
        <v>213</v>
      </c>
      <c r="C121" s="95">
        <f>('DOE25'!L205)+('DOE25'!L223)+('DOE25'!L241)</f>
        <v>1801114.9100000001</v>
      </c>
      <c r="D121" s="24" t="s">
        <v>288</v>
      </c>
      <c r="E121" s="95">
        <f>+('DOE25'!L284)+('DOE25'!L303)+('DOE25'!L322)</f>
        <v>158315.27000000002</v>
      </c>
      <c r="F121" s="24" t="s">
        <v>288</v>
      </c>
      <c r="G121" s="24" t="s">
        <v>288</v>
      </c>
    </row>
    <row r="122" spans="1:7" x14ac:dyDescent="0.2">
      <c r="A122" t="s">
        <v>214</v>
      </c>
      <c r="B122" s="32" t="s">
        <v>215</v>
      </c>
      <c r="C122" s="95">
        <f>('DOE25'!L206)+('DOE25'!L224)+('DOE25'!L242)</f>
        <v>821690.26</v>
      </c>
      <c r="D122" s="24" t="s">
        <v>288</v>
      </c>
      <c r="E122" s="95">
        <f>+('DOE25'!L285)+('DOE25'!L304)+('DOE25'!L323)</f>
        <v>49390.32</v>
      </c>
      <c r="F122" s="24" t="s">
        <v>288</v>
      </c>
      <c r="G122" s="24" t="s">
        <v>288</v>
      </c>
    </row>
    <row r="123" spans="1:7" x14ac:dyDescent="0.2">
      <c r="A123" t="s">
        <v>216</v>
      </c>
      <c r="B123" s="32" t="s">
        <v>217</v>
      </c>
      <c r="C123" s="95">
        <f>('DOE25'!L207)+('DOE25'!L225)+('DOE25'!L243)</f>
        <v>2411088.54</v>
      </c>
      <c r="D123" s="24" t="s">
        <v>288</v>
      </c>
      <c r="E123" s="95">
        <f>+('DOE25'!L286)+('DOE25'!L305)+('DOE25'!L324)</f>
        <v>-0.48</v>
      </c>
      <c r="F123" s="24" t="s">
        <v>288</v>
      </c>
      <c r="G123" s="24" t="s">
        <v>288</v>
      </c>
    </row>
    <row r="124" spans="1:7" x14ac:dyDescent="0.2">
      <c r="A124" t="s">
        <v>218</v>
      </c>
      <c r="B124" s="32" t="s">
        <v>219</v>
      </c>
      <c r="C124" s="95">
        <f>('DOE25'!L208)+('DOE25'!L226)+('DOE25'!L244+'DOE25'!L254)</f>
        <v>1908304.04</v>
      </c>
      <c r="D124" s="24" t="s">
        <v>288</v>
      </c>
      <c r="E124" s="95">
        <f>+('DOE25'!L287)+('DOE25'!L306)+('DOE25'!L325)</f>
        <v>22390.2</v>
      </c>
      <c r="F124" s="24" t="s">
        <v>288</v>
      </c>
      <c r="G124" s="24" t="s">
        <v>288</v>
      </c>
    </row>
    <row r="125" spans="1:7" x14ac:dyDescent="0.2">
      <c r="A125" t="s">
        <v>220</v>
      </c>
      <c r="B125" s="32" t="s">
        <v>221</v>
      </c>
      <c r="C125" s="95">
        <f>('DOE25'!L209)+('DOE25'!L227)+('DOE25'!L245)</f>
        <v>1394676.4600000002</v>
      </c>
      <c r="D125" s="24" t="s">
        <v>288</v>
      </c>
      <c r="E125" s="95">
        <f>+('DOE25'!L288)+('DOE25'!L307)+('DOE25'!L326)</f>
        <v>23836.11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885875.28</v>
      </c>
      <c r="E127" s="24" t="s">
        <v>288</v>
      </c>
      <c r="F127" s="24" t="s">
        <v>288</v>
      </c>
      <c r="G127" s="24" t="s">
        <v>288</v>
      </c>
    </row>
    <row r="128" spans="1:7" ht="12.75" thickTop="1" thickBot="1" x14ac:dyDescent="0.25">
      <c r="A128" s="33" t="s">
        <v>226</v>
      </c>
      <c r="C128" s="86">
        <f>SUM(C118:C127)</f>
        <v>11345895.610000001</v>
      </c>
      <c r="D128" s="86">
        <f>SUM(D118:D127)</f>
        <v>885875.28</v>
      </c>
      <c r="E128" s="86">
        <f>SUM(E118:E127)</f>
        <v>556234.52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1193266.81</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1766792</v>
      </c>
      <c r="D137" s="24" t="s">
        <v>288</v>
      </c>
      <c r="E137" s="129">
        <f>'DOE25'!L346</f>
        <v>0</v>
      </c>
      <c r="F137" s="24" t="s">
        <v>288</v>
      </c>
      <c r="G137" s="24" t="s">
        <v>288</v>
      </c>
    </row>
    <row r="138" spans="1:7" x14ac:dyDescent="0.2">
      <c r="A138" t="s">
        <v>238</v>
      </c>
      <c r="B138" s="32">
        <v>5251</v>
      </c>
      <c r="C138" s="95">
        <f>'DOE25'!L393</f>
        <v>64.3</v>
      </c>
      <c r="D138" s="24" t="s">
        <v>288</v>
      </c>
      <c r="E138" s="24" t="s">
        <v>288</v>
      </c>
      <c r="F138" s="24" t="s">
        <v>288</v>
      </c>
      <c r="G138" s="24" t="s">
        <v>288</v>
      </c>
    </row>
    <row r="139" spans="1:7" x14ac:dyDescent="0.2">
      <c r="A139" t="s">
        <v>239</v>
      </c>
      <c r="B139" s="32">
        <v>5252</v>
      </c>
      <c r="C139" s="95">
        <f>'DOE25'!L401</f>
        <v>10452.459999999999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-10516.759999999998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1766792</v>
      </c>
      <c r="D144" s="141">
        <f>SUM(D130:D143)</f>
        <v>0</v>
      </c>
      <c r="E144" s="141">
        <f>SUM(E130:E143)</f>
        <v>0</v>
      </c>
      <c r="F144" s="141">
        <f>SUM(F130:F143)</f>
        <v>1193266.81</v>
      </c>
      <c r="G144" s="141">
        <f>SUM(G130:G143)</f>
        <v>0</v>
      </c>
    </row>
    <row r="145" spans="1:9" ht="12.75" thickTop="1" thickBot="1" x14ac:dyDescent="0.25">
      <c r="A145" s="33" t="s">
        <v>244</v>
      </c>
      <c r="C145" s="86">
        <f>(C115+C128+C144)</f>
        <v>32134630.910000004</v>
      </c>
      <c r="D145" s="86">
        <f>(D115+D128+D144)</f>
        <v>885875.28</v>
      </c>
      <c r="E145" s="86">
        <f>(E115+E128+E144)</f>
        <v>1484137.32</v>
      </c>
      <c r="F145" s="86">
        <f>(F115+F128+F144)</f>
        <v>1193266.81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Monadnock Regional School District</v>
      </c>
    </row>
    <row r="3" spans="1:4" x14ac:dyDescent="0.2">
      <c r="B3" s="188" t="s">
        <v>1602</v>
      </c>
    </row>
    <row r="4" spans="1:4" x14ac:dyDescent="0.2">
      <c r="B4" t="s">
        <v>61</v>
      </c>
      <c r="C4" s="179">
        <f>IF('DOE25'!F665+'DOE25'!F670=0,0,ROUND('DOE25'!F672,0))</f>
        <v>17520</v>
      </c>
    </row>
    <row r="5" spans="1:4" x14ac:dyDescent="0.2">
      <c r="B5" t="s">
        <v>700</v>
      </c>
      <c r="C5" s="179">
        <f>IF('DOE25'!G665+'DOE25'!G670=0,0,ROUND('DOE25'!G672,0))</f>
        <v>17069</v>
      </c>
    </row>
    <row r="6" spans="1:4" x14ac:dyDescent="0.2">
      <c r="B6" t="s">
        <v>62</v>
      </c>
      <c r="C6" s="179">
        <f>IF('DOE25'!H665+'DOE25'!H670=0,0,ROUND('DOE25'!H672,0))</f>
        <v>17872</v>
      </c>
    </row>
    <row r="7" spans="1:4" x14ac:dyDescent="0.2">
      <c r="B7" t="s">
        <v>701</v>
      </c>
      <c r="C7" s="179">
        <f>IF('DOE25'!I665+'DOE25'!I670=0,0,ROUND('DOE25'!I672,0))</f>
        <v>17558</v>
      </c>
    </row>
    <row r="9" spans="1:4" x14ac:dyDescent="0.2">
      <c r="A9" s="187" t="s">
        <v>94</v>
      </c>
      <c r="B9" s="188" t="s">
        <v>1603</v>
      </c>
      <c r="C9" s="181" t="s">
        <v>720</v>
      </c>
      <c r="D9" s="181" t="s">
        <v>721</v>
      </c>
    </row>
    <row r="10" spans="1:4" x14ac:dyDescent="0.2">
      <c r="A10">
        <v>1100</v>
      </c>
      <c r="B10" t="s">
        <v>702</v>
      </c>
      <c r="C10" s="179">
        <f>ROUND('DOE25'!L197+'DOE25'!L215+'DOE25'!L233+'DOE25'!L276+'DOE25'!L295+'DOE25'!L314,0)</f>
        <v>11393066</v>
      </c>
      <c r="D10" s="182">
        <f>ROUND((C10/$C$28)*100,1)</f>
        <v>35.200000000000003</v>
      </c>
    </row>
    <row r="11" spans="1:4" x14ac:dyDescent="0.2">
      <c r="A11">
        <v>1200</v>
      </c>
      <c r="B11" t="s">
        <v>703</v>
      </c>
      <c r="C11" s="179">
        <f>ROUND('DOE25'!L198+'DOE25'!L216+'DOE25'!L234+'DOE25'!L277+'DOE25'!L296+'DOE25'!L315,0)</f>
        <v>7864076</v>
      </c>
      <c r="D11" s="182">
        <f>ROUND((C11/$C$28)*100,1)</f>
        <v>24.3</v>
      </c>
    </row>
    <row r="12" spans="1:4" x14ac:dyDescent="0.2">
      <c r="A12">
        <v>1300</v>
      </c>
      <c r="B12" t="s">
        <v>704</v>
      </c>
      <c r="C12" s="179">
        <f>ROUND('DOE25'!L199+'DOE25'!L217+'DOE25'!L235+'DOE25'!L278+'DOE25'!L297+'DOE25'!L316,0)</f>
        <v>38524</v>
      </c>
      <c r="D12" s="182">
        <f>ROUND((C12/$C$28)*100,1)</f>
        <v>0.1</v>
      </c>
    </row>
    <row r="13" spans="1:4" x14ac:dyDescent="0.2">
      <c r="A13">
        <v>1400</v>
      </c>
      <c r="B13" t="s">
        <v>705</v>
      </c>
      <c r="C13" s="179">
        <f>ROUND('DOE25'!L200+'DOE25'!L218+'DOE25'!L236+'DOE25'!L279+'DOE25'!L298+'DOE25'!L317,0)</f>
        <v>648663</v>
      </c>
      <c r="D13" s="182">
        <f>ROUND((C13/$C$28)*100,1)</f>
        <v>2</v>
      </c>
    </row>
    <row r="14" spans="1:4" x14ac:dyDescent="0.2">
      <c r="D14" s="182"/>
    </row>
    <row r="15" spans="1:4" x14ac:dyDescent="0.2">
      <c r="A15">
        <v>2100</v>
      </c>
      <c r="B15" t="s">
        <v>706</v>
      </c>
      <c r="C15" s="179">
        <f>ROUND('DOE25'!L202+'DOE25'!L220+'DOE25'!L238+'DOE25'!L281+'DOE25'!L300+'DOE25'!L319,0)</f>
        <v>1875150</v>
      </c>
      <c r="D15" s="182">
        <f t="shared" ref="D15:D27" si="0">ROUND((C15/$C$28)*100,1)</f>
        <v>5.8</v>
      </c>
    </row>
    <row r="16" spans="1:4" x14ac:dyDescent="0.2">
      <c r="A16">
        <v>2200</v>
      </c>
      <c r="B16" t="s">
        <v>707</v>
      </c>
      <c r="C16" s="179">
        <f>ROUND('DOE25'!L203+'DOE25'!L221+'DOE25'!L239+'DOE25'!L282+'DOE25'!L301+'DOE25'!L320,0)</f>
        <v>799313</v>
      </c>
      <c r="D16" s="182">
        <f t="shared" si="0"/>
        <v>2.5</v>
      </c>
    </row>
    <row r="17" spans="1:4" x14ac:dyDescent="0.2">
      <c r="A17" s="183" t="s">
        <v>723</v>
      </c>
      <c r="B17" t="s">
        <v>738</v>
      </c>
      <c r="C17" s="179">
        <f>ROUND('DOE25'!L204+'DOE25'!L209+'DOE25'!L222+'DOE25'!L227+'DOE25'!L240+'DOE25'!L245+'DOE25'!L283+'DOE25'!L288+'DOE25'!L302+'DOE25'!L307+'DOE25'!L321+'DOE25'!L326,0)</f>
        <v>2055374</v>
      </c>
      <c r="D17" s="182">
        <f t="shared" si="0"/>
        <v>6.4</v>
      </c>
    </row>
    <row r="18" spans="1:4" x14ac:dyDescent="0.2">
      <c r="A18">
        <v>2400</v>
      </c>
      <c r="B18" t="s">
        <v>711</v>
      </c>
      <c r="C18" s="179">
        <f>ROUND('DOE25'!L205+'DOE25'!L223+'DOE25'!L241+'DOE25'!L284+'DOE25'!L303+'DOE25'!L322,0)</f>
        <v>1959430</v>
      </c>
      <c r="D18" s="182">
        <f t="shared" si="0"/>
        <v>6.1</v>
      </c>
    </row>
    <row r="19" spans="1:4" x14ac:dyDescent="0.2">
      <c r="A19">
        <v>2500</v>
      </c>
      <c r="B19" t="s">
        <v>708</v>
      </c>
      <c r="C19" s="179">
        <f>ROUND('DOE25'!L206+'DOE25'!L224+'DOE25'!L242+'DOE25'!L285+'DOE25'!L304+'DOE25'!L323,0)</f>
        <v>871081</v>
      </c>
      <c r="D19" s="182">
        <f t="shared" si="0"/>
        <v>2.7</v>
      </c>
    </row>
    <row r="20" spans="1:4" x14ac:dyDescent="0.2">
      <c r="A20">
        <v>2600</v>
      </c>
      <c r="B20" t="s">
        <v>709</v>
      </c>
      <c r="C20" s="179">
        <f>ROUND('DOE25'!L207+'DOE25'!L225+'DOE25'!L243+'DOE25'!L286+'DOE25'!L305+'DOE25'!L324,0)</f>
        <v>2411088</v>
      </c>
      <c r="D20" s="182">
        <f t="shared" si="0"/>
        <v>7.5</v>
      </c>
    </row>
    <row r="21" spans="1:4" x14ac:dyDescent="0.2">
      <c r="A21">
        <v>2700</v>
      </c>
      <c r="B21" t="s">
        <v>710</v>
      </c>
      <c r="C21" s="179">
        <f>ROUND('DOE25'!L208+'DOE25'!L226+'DOE25'!L244+'DOE25'!L287+'DOE25'!L306+'DOE25'!L325,0)</f>
        <v>1930694</v>
      </c>
      <c r="D21" s="182">
        <f t="shared" si="0"/>
        <v>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5517</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472304.31</v>
      </c>
      <c r="D27" s="182">
        <f t="shared" si="0"/>
        <v>1.5</v>
      </c>
    </row>
    <row r="28" spans="1:4" x14ac:dyDescent="0.2">
      <c r="B28" s="187" t="s">
        <v>719</v>
      </c>
      <c r="C28" s="180">
        <f>SUM(C10:C27)</f>
        <v>32324280.309999999</v>
      </c>
      <c r="D28" s="184">
        <f>ROUND(SUM(D10:D27),0)</f>
        <v>100</v>
      </c>
    </row>
    <row r="29" spans="1:4" x14ac:dyDescent="0.2">
      <c r="A29">
        <v>4000</v>
      </c>
      <c r="B29" t="s">
        <v>724</v>
      </c>
      <c r="C29" s="179">
        <f>ROUND('DOE25'!L255+'DOE25'!L336+'DOE25'!L374+'DOE25'!L375+'DOE25'!L376+'DOE25'!L377+'DOE25'!L378+'DOE25'!L379+'DOE25'!L380,0)</f>
        <v>1193267</v>
      </c>
    </row>
    <row r="30" spans="1:4" x14ac:dyDescent="0.2">
      <c r="B30" s="187" t="s">
        <v>725</v>
      </c>
      <c r="C30" s="180">
        <f>SUM(C28:C29)</f>
        <v>33517547.309999999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18681304</v>
      </c>
      <c r="D35" s="182">
        <f t="shared" ref="D35:D40" si="1">ROUND((C35/$C$41)*100,1)</f>
        <v>55.9</v>
      </c>
    </row>
    <row r="36" spans="1:4" x14ac:dyDescent="0.2">
      <c r="B36" s="185" t="s">
        <v>739</v>
      </c>
      <c r="C36" s="179">
        <f>SUM('DOE25'!F112:J112)-SUM('DOE25'!G97:G110)+('DOE25'!F174+'DOE25'!F175+'DOE25'!I174+'DOE25'!I175)-C35</f>
        <v>410463.06000000238</v>
      </c>
      <c r="D36" s="182">
        <f t="shared" si="1"/>
        <v>1.2</v>
      </c>
    </row>
    <row r="37" spans="1:4" x14ac:dyDescent="0.2">
      <c r="A37" s="183" t="s">
        <v>835</v>
      </c>
      <c r="B37" s="185" t="s">
        <v>728</v>
      </c>
      <c r="C37" s="179">
        <f>ROUND('DOE25'!F117+'DOE25'!F118,0)</f>
        <v>11328000</v>
      </c>
      <c r="D37" s="182">
        <f t="shared" si="1"/>
        <v>33.9</v>
      </c>
    </row>
    <row r="38" spans="1:4" x14ac:dyDescent="0.2">
      <c r="A38" s="183" t="s">
        <v>734</v>
      </c>
      <c r="B38" s="185" t="s">
        <v>729</v>
      </c>
      <c r="C38" s="179">
        <f>ROUND(SUM('DOE25'!F140:J140)-SUM('DOE25'!F117:F119),0)</f>
        <v>549197</v>
      </c>
      <c r="D38" s="182">
        <f t="shared" si="1"/>
        <v>1.6</v>
      </c>
    </row>
    <row r="39" spans="1:4" x14ac:dyDescent="0.2">
      <c r="A39">
        <v>4000</v>
      </c>
      <c r="B39" s="185" t="s">
        <v>730</v>
      </c>
      <c r="C39" s="179">
        <f>ROUND('DOE25'!F169+'DOE25'!G169+'DOE25'!H169+'DOE25'!I169,0)</f>
        <v>2436761</v>
      </c>
      <c r="D39" s="182">
        <f t="shared" si="1"/>
        <v>7.3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33405725.060000002</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Monadnock Regional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2019-11-08T13:27:19Z</cp:lastPrinted>
  <dcterms:created xsi:type="dcterms:W3CDTF">1997-12-04T19:04:30Z</dcterms:created>
  <dcterms:modified xsi:type="dcterms:W3CDTF">2020-01-22T14:47:56Z</dcterms:modified>
</cp:coreProperties>
</file>