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 i="12" l="1"/>
  <c r="F468" i="1"/>
  <c r="F472" i="1"/>
  <c r="F57" i="1"/>
  <c r="J468" i="1" l="1"/>
  <c r="J472" i="1"/>
  <c r="H472" i="1"/>
  <c r="H468" i="1"/>
  <c r="J465" i="1"/>
  <c r="H465" i="1"/>
  <c r="F368" i="1" l="1"/>
  <c r="F367" i="1"/>
  <c r="H198" i="1"/>
  <c r="H208" i="1"/>
  <c r="H521" i="1"/>
  <c r="H526" i="1"/>
  <c r="H528" i="1"/>
  <c r="H523" i="1" l="1"/>
  <c r="G279" i="1"/>
  <c r="H358" i="1"/>
  <c r="I203" i="1"/>
  <c r="G203" i="1"/>
  <c r="F203" i="1"/>
  <c r="H203" i="1"/>
  <c r="K202" i="1"/>
  <c r="J202" i="1"/>
  <c r="I202" i="1"/>
  <c r="H202" i="1"/>
  <c r="G202" i="1"/>
  <c r="F202" i="1"/>
  <c r="I200" i="1"/>
  <c r="H197" i="1"/>
  <c r="H205" i="1"/>
  <c r="H207" i="1"/>
  <c r="I205" i="1"/>
  <c r="F204" i="1"/>
  <c r="K204" i="1"/>
  <c r="H204" i="1"/>
  <c r="G204" i="1"/>
  <c r="G206" i="1"/>
  <c r="C20" i="12" l="1"/>
  <c r="C19" i="12"/>
  <c r="B19" i="12" l="1"/>
  <c r="B21" i="12"/>
  <c r="B20" i="12"/>
  <c r="C11" i="12"/>
  <c r="G459" i="1"/>
  <c r="F459" i="1"/>
  <c r="F439" i="1"/>
  <c r="G439" i="1"/>
  <c r="F24" i="1" l="1"/>
  <c r="F9" i="1"/>
  <c r="F110" i="1" l="1"/>
  <c r="J96" i="1" l="1"/>
  <c r="H155"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C119" i="2" s="1"/>
  <c r="G12" i="13"/>
  <c r="H12" i="13"/>
  <c r="L205" i="1"/>
  <c r="L223" i="1"/>
  <c r="L241" i="1"/>
  <c r="G14" i="13"/>
  <c r="H14" i="13"/>
  <c r="L207" i="1"/>
  <c r="L225" i="1"/>
  <c r="L243" i="1"/>
  <c r="G15" i="13"/>
  <c r="H15" i="13"/>
  <c r="L208" i="1"/>
  <c r="L226" i="1"/>
  <c r="L244" i="1"/>
  <c r="H647" i="1" s="1"/>
  <c r="G17" i="13"/>
  <c r="H17" i="13"/>
  <c r="L251" i="1"/>
  <c r="G18" i="13"/>
  <c r="H18" i="13"/>
  <c r="L252" i="1"/>
  <c r="D18" i="13" s="1"/>
  <c r="G19" i="13"/>
  <c r="H19" i="13"/>
  <c r="L253" i="1"/>
  <c r="G29" i="13"/>
  <c r="H29" i="13"/>
  <c r="L358" i="1"/>
  <c r="F661" i="1" s="1"/>
  <c r="L359" i="1"/>
  <c r="L360" i="1"/>
  <c r="I367" i="1"/>
  <c r="I369" i="1" s="1"/>
  <c r="H634" i="1" s="1"/>
  <c r="J290" i="1"/>
  <c r="J309" i="1"/>
  <c r="J328" i="1"/>
  <c r="K290" i="1"/>
  <c r="K309" i="1"/>
  <c r="K328" i="1"/>
  <c r="L276" i="1"/>
  <c r="L277" i="1"/>
  <c r="C11" i="10" s="1"/>
  <c r="L278" i="1"/>
  <c r="L279" i="1"/>
  <c r="E112" i="2" s="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C40" i="12"/>
  <c r="B27" i="12"/>
  <c r="A31" i="12" s="1"/>
  <c r="C27" i="12"/>
  <c r="B31" i="12"/>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F112" i="1" s="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2" i="10"/>
  <c r="C13" i="10"/>
  <c r="C18" i="10"/>
  <c r="L250" i="1"/>
  <c r="C113" i="2" s="1"/>
  <c r="L332" i="1"/>
  <c r="L254" i="1"/>
  <c r="L268" i="1"/>
  <c r="C26" i="10" s="1"/>
  <c r="L269" i="1"/>
  <c r="L349" i="1"/>
  <c r="L350" i="1"/>
  <c r="I665" i="1"/>
  <c r="I670" i="1"/>
  <c r="G662" i="1"/>
  <c r="H662" i="1"/>
  <c r="I669" i="1"/>
  <c r="C42" i="10"/>
  <c r="C32" i="10"/>
  <c r="L374" i="1"/>
  <c r="L375" i="1"/>
  <c r="L376" i="1"/>
  <c r="L377" i="1"/>
  <c r="L378" i="1"/>
  <c r="L379" i="1"/>
  <c r="L380" i="1"/>
  <c r="B2" i="10"/>
  <c r="L344" i="1"/>
  <c r="L345" i="1"/>
  <c r="L346" i="1"/>
  <c r="L347" i="1"/>
  <c r="L351" i="1" s="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I552"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E57" i="2"/>
  <c r="C58" i="2"/>
  <c r="E58" i="2"/>
  <c r="C59" i="2"/>
  <c r="D59" i="2"/>
  <c r="D62" i="2" s="1"/>
  <c r="D63" i="2" s="1"/>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C114" i="2"/>
  <c r="D115" i="2"/>
  <c r="F115" i="2"/>
  <c r="G115" i="2"/>
  <c r="E119" i="2"/>
  <c r="E120" i="2"/>
  <c r="E121" i="2"/>
  <c r="E123" i="2"/>
  <c r="E124" i="2"/>
  <c r="C125" i="2"/>
  <c r="E125" i="2"/>
  <c r="F128" i="2"/>
  <c r="G128" i="2"/>
  <c r="F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I257" i="1" s="1"/>
  <c r="I271" i="1" s="1"/>
  <c r="J211" i="1"/>
  <c r="J257" i="1" s="1"/>
  <c r="K211" i="1"/>
  <c r="K257" i="1" s="1"/>
  <c r="K271" i="1" s="1"/>
  <c r="F229" i="1"/>
  <c r="G229" i="1"/>
  <c r="H229" i="1"/>
  <c r="I229" i="1"/>
  <c r="J229" i="1"/>
  <c r="K229" i="1"/>
  <c r="F247" i="1"/>
  <c r="G247" i="1"/>
  <c r="H247" i="1"/>
  <c r="I247" i="1"/>
  <c r="J247" i="1"/>
  <c r="K247" i="1"/>
  <c r="F256" i="1"/>
  <c r="G256" i="1"/>
  <c r="H256" i="1"/>
  <c r="I256" i="1"/>
  <c r="J256" i="1"/>
  <c r="K256" i="1"/>
  <c r="L270" i="1"/>
  <c r="F290" i="1"/>
  <c r="F338" i="1" s="1"/>
  <c r="F352" i="1" s="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L382" i="1" s="1"/>
  <c r="G636" i="1" s="1"/>
  <c r="J636" i="1" s="1"/>
  <c r="F382" i="1"/>
  <c r="G382" i="1"/>
  <c r="H382" i="1"/>
  <c r="I382" i="1"/>
  <c r="J382" i="1"/>
  <c r="K382" i="1"/>
  <c r="F393" i="1"/>
  <c r="G393" i="1"/>
  <c r="G408" i="1" s="1"/>
  <c r="H645" i="1" s="1"/>
  <c r="H393" i="1"/>
  <c r="H408" i="1" s="1"/>
  <c r="H644" i="1" s="1"/>
  <c r="I393" i="1"/>
  <c r="F401" i="1"/>
  <c r="G401" i="1"/>
  <c r="H401" i="1"/>
  <c r="I401" i="1"/>
  <c r="F407" i="1"/>
  <c r="G407" i="1"/>
  <c r="H407" i="1"/>
  <c r="I407" i="1"/>
  <c r="F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F461" i="1" s="1"/>
  <c r="H639" i="1" s="1"/>
  <c r="G460" i="1"/>
  <c r="G461" i="1" s="1"/>
  <c r="H640" i="1" s="1"/>
  <c r="H460" i="1"/>
  <c r="H461" i="1"/>
  <c r="H641" i="1" s="1"/>
  <c r="J641" i="1" s="1"/>
  <c r="F470" i="1"/>
  <c r="G470" i="1"/>
  <c r="H470" i="1"/>
  <c r="I470" i="1"/>
  <c r="J470" i="1"/>
  <c r="J476" i="1" s="1"/>
  <c r="H626" i="1" s="1"/>
  <c r="F474" i="1"/>
  <c r="G474" i="1"/>
  <c r="G476" i="1" s="1"/>
  <c r="H623" i="1" s="1"/>
  <c r="H474" i="1"/>
  <c r="I474" i="1"/>
  <c r="J474" i="1"/>
  <c r="K495" i="1"/>
  <c r="K496" i="1"/>
  <c r="K497" i="1"/>
  <c r="K498" i="1"/>
  <c r="K499" i="1"/>
  <c r="K501" i="1"/>
  <c r="K502" i="1"/>
  <c r="F517" i="1"/>
  <c r="G517" i="1"/>
  <c r="H517" i="1"/>
  <c r="I517" i="1"/>
  <c r="F524" i="1"/>
  <c r="G524" i="1"/>
  <c r="G545" i="1" s="1"/>
  <c r="H524" i="1"/>
  <c r="I524" i="1"/>
  <c r="J524" i="1"/>
  <c r="K524" i="1"/>
  <c r="K545" i="1" s="1"/>
  <c r="F529" i="1"/>
  <c r="G529" i="1"/>
  <c r="H529" i="1"/>
  <c r="I529" i="1"/>
  <c r="J529" i="1"/>
  <c r="K529" i="1"/>
  <c r="F534" i="1"/>
  <c r="G534" i="1"/>
  <c r="H534" i="1"/>
  <c r="I534" i="1"/>
  <c r="J534" i="1"/>
  <c r="K534" i="1"/>
  <c r="F539" i="1"/>
  <c r="G539" i="1"/>
  <c r="H539" i="1"/>
  <c r="I539" i="1"/>
  <c r="J539" i="1"/>
  <c r="K539" i="1"/>
  <c r="L539" i="1"/>
  <c r="F544" i="1"/>
  <c r="G544" i="1"/>
  <c r="H544" i="1"/>
  <c r="I544" i="1"/>
  <c r="J544" i="1"/>
  <c r="K544" i="1"/>
  <c r="L557" i="1"/>
  <c r="L558" i="1"/>
  <c r="L559" i="1"/>
  <c r="F560" i="1"/>
  <c r="G560" i="1"/>
  <c r="H560" i="1"/>
  <c r="I560" i="1"/>
  <c r="I571" i="1" s="1"/>
  <c r="J560" i="1"/>
  <c r="K560" i="1"/>
  <c r="L562" i="1"/>
  <c r="L563" i="1"/>
  <c r="L565" i="1" s="1"/>
  <c r="L564" i="1"/>
  <c r="F565" i="1"/>
  <c r="F571" i="1" s="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0" i="1"/>
  <c r="G622" i="1"/>
  <c r="G623" i="1"/>
  <c r="G625" i="1"/>
  <c r="H627" i="1"/>
  <c r="H628" i="1"/>
  <c r="H629" i="1"/>
  <c r="H630" i="1"/>
  <c r="H631" i="1"/>
  <c r="H632" i="1"/>
  <c r="H633" i="1"/>
  <c r="H635" i="1"/>
  <c r="H636" i="1"/>
  <c r="H637" i="1"/>
  <c r="H638" i="1"/>
  <c r="G640" i="1"/>
  <c r="G641" i="1"/>
  <c r="G643" i="1"/>
  <c r="H643" i="1"/>
  <c r="G644" i="1"/>
  <c r="G645" i="1"/>
  <c r="G650" i="1"/>
  <c r="G651" i="1"/>
  <c r="J651" i="1" s="1"/>
  <c r="G652" i="1"/>
  <c r="H652" i="1"/>
  <c r="G653" i="1"/>
  <c r="H653" i="1"/>
  <c r="G654" i="1"/>
  <c r="H654" i="1"/>
  <c r="H655" i="1"/>
  <c r="L256" i="1"/>
  <c r="C18" i="2"/>
  <c r="L328" i="1"/>
  <c r="C18" i="13"/>
  <c r="D18" i="2"/>
  <c r="C91" i="2"/>
  <c r="D50" i="2"/>
  <c r="F18" i="2"/>
  <c r="G156" i="2"/>
  <c r="E103" i="2"/>
  <c r="E62" i="2"/>
  <c r="E63" i="2" s="1"/>
  <c r="G62" i="2"/>
  <c r="E78" i="2"/>
  <c r="L427" i="1"/>
  <c r="H112" i="1"/>
  <c r="K605" i="1"/>
  <c r="G648" i="1" s="1"/>
  <c r="K571" i="1"/>
  <c r="L419" i="1"/>
  <c r="D81" i="2"/>
  <c r="I169" i="1"/>
  <c r="J643" i="1"/>
  <c r="I476" i="1"/>
  <c r="H625" i="1" s="1"/>
  <c r="J625" i="1" s="1"/>
  <c r="G338" i="1"/>
  <c r="G352" i="1" s="1"/>
  <c r="J140" i="1"/>
  <c r="K549" i="1"/>
  <c r="G22" i="2"/>
  <c r="H552" i="1"/>
  <c r="H140" i="1"/>
  <c r="L560" i="1"/>
  <c r="H192" i="1"/>
  <c r="C35" i="10"/>
  <c r="L570" i="1"/>
  <c r="I545" i="1"/>
  <c r="G36" i="2"/>
  <c r="F476" i="1" l="1"/>
  <c r="H622" i="1" s="1"/>
  <c r="J622" i="1" s="1"/>
  <c r="J655" i="1"/>
  <c r="H476" i="1"/>
  <c r="H624" i="1" s="1"/>
  <c r="J634" i="1"/>
  <c r="L529" i="1"/>
  <c r="K598" i="1"/>
  <c r="G647" i="1" s="1"/>
  <c r="J647" i="1" s="1"/>
  <c r="H545" i="1"/>
  <c r="J552" i="1"/>
  <c r="J545" i="1"/>
  <c r="F552" i="1"/>
  <c r="L290" i="1"/>
  <c r="L338" i="1" s="1"/>
  <c r="L352" i="1" s="1"/>
  <c r="G633" i="1" s="1"/>
  <c r="J633" i="1" s="1"/>
  <c r="F257" i="1"/>
  <c r="F271" i="1" s="1"/>
  <c r="C110" i="2"/>
  <c r="L362" i="1"/>
  <c r="C27" i="10" s="1"/>
  <c r="G661" i="1"/>
  <c r="A40" i="12"/>
  <c r="D6" i="13"/>
  <c r="C6" i="13" s="1"/>
  <c r="H257" i="1"/>
  <c r="H271" i="1" s="1"/>
  <c r="D15" i="13"/>
  <c r="C15" i="13" s="1"/>
  <c r="L247" i="1"/>
  <c r="H660" i="1" s="1"/>
  <c r="G22" i="13"/>
  <c r="C22" i="13" s="1"/>
  <c r="C20" i="10"/>
  <c r="C121" i="2"/>
  <c r="E13" i="13"/>
  <c r="C13" i="13" s="1"/>
  <c r="L211" i="1"/>
  <c r="C120" i="2"/>
  <c r="J640" i="1"/>
  <c r="J639" i="1"/>
  <c r="J644" i="1"/>
  <c r="L393" i="1"/>
  <c r="C138" i="2" s="1"/>
  <c r="J645" i="1"/>
  <c r="E31" i="2"/>
  <c r="H52" i="1"/>
  <c r="H619" i="1" s="1"/>
  <c r="J619" i="1" s="1"/>
  <c r="J623" i="1"/>
  <c r="F192" i="1"/>
  <c r="G192" i="1"/>
  <c r="C78" i="2"/>
  <c r="C81" i="2" s="1"/>
  <c r="J617" i="1"/>
  <c r="C62" i="2"/>
  <c r="C17" i="13"/>
  <c r="E128" i="2"/>
  <c r="K551" i="1"/>
  <c r="I25" i="13"/>
  <c r="K550" i="1"/>
  <c r="J271" i="1"/>
  <c r="G624" i="1"/>
  <c r="J624" i="1" s="1"/>
  <c r="L534" i="1"/>
  <c r="K500" i="1"/>
  <c r="I460" i="1"/>
  <c r="I452" i="1"/>
  <c r="I446" i="1"/>
  <c r="G642" i="1" s="1"/>
  <c r="H338" i="1"/>
  <c r="H352" i="1" s="1"/>
  <c r="C123" i="2"/>
  <c r="E109" i="2"/>
  <c r="E115" i="2" s="1"/>
  <c r="C56" i="2"/>
  <c r="F662" i="1"/>
  <c r="I662" i="1" s="1"/>
  <c r="C25" i="10"/>
  <c r="C21" i="10"/>
  <c r="C17" i="10"/>
  <c r="D19" i="13"/>
  <c r="C19" i="13" s="1"/>
  <c r="D14" i="13"/>
  <c r="C14" i="13" s="1"/>
  <c r="C111" i="2"/>
  <c r="H661" i="1"/>
  <c r="C15" i="10"/>
  <c r="A13" i="12"/>
  <c r="D29" i="13"/>
  <c r="C29" i="13" s="1"/>
  <c r="D12" i="13"/>
  <c r="C12" i="13" s="1"/>
  <c r="D5" i="13"/>
  <c r="C5" i="13" s="1"/>
  <c r="E8" i="13"/>
  <c r="C8" i="13" s="1"/>
  <c r="K503" i="1"/>
  <c r="G257" i="1"/>
  <c r="G271" i="1" s="1"/>
  <c r="C142" i="2"/>
  <c r="C29" i="10"/>
  <c r="E81" i="2"/>
  <c r="G649" i="1"/>
  <c r="J649" i="1" s="1"/>
  <c r="L544" i="1"/>
  <c r="L524" i="1"/>
  <c r="J338" i="1"/>
  <c r="J352" i="1" s="1"/>
  <c r="D127" i="2"/>
  <c r="D128" i="2" s="1"/>
  <c r="D145" i="2" s="1"/>
  <c r="C124" i="2"/>
  <c r="C122" i="2"/>
  <c r="C118" i="2"/>
  <c r="C19" i="10"/>
  <c r="C16" i="10"/>
  <c r="D17" i="13"/>
  <c r="D7" i="13"/>
  <c r="C7" i="13" s="1"/>
  <c r="E16" i="13"/>
  <c r="C10" i="10"/>
  <c r="C109" i="2"/>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C36" i="10"/>
  <c r="G63" i="2"/>
  <c r="G104" i="2" s="1"/>
  <c r="J618" i="1"/>
  <c r="G42" i="2"/>
  <c r="J51" i="1"/>
  <c r="G16" i="2"/>
  <c r="G18" i="2" s="1"/>
  <c r="J19" i="1"/>
  <c r="G621" i="1" s="1"/>
  <c r="F545" i="1"/>
  <c r="H434" i="1"/>
  <c r="J620" i="1"/>
  <c r="D103" i="2"/>
  <c r="D104" i="2" s="1"/>
  <c r="I140" i="1"/>
  <c r="I193" i="1" s="1"/>
  <c r="G630" i="1" s="1"/>
  <c r="J630" i="1" s="1"/>
  <c r="A22" i="12"/>
  <c r="G50" i="2"/>
  <c r="G51" i="2" s="1"/>
  <c r="H648" i="1"/>
  <c r="J648" i="1" s="1"/>
  <c r="J652" i="1"/>
  <c r="G571" i="1"/>
  <c r="I434" i="1"/>
  <c r="G434" i="1"/>
  <c r="I663" i="1"/>
  <c r="E145" i="2" l="1"/>
  <c r="G4" i="14"/>
  <c r="H4" i="14" s="1"/>
  <c r="I4" i="14" s="1"/>
  <c r="G36" i="14"/>
  <c r="H36" i="14" s="1"/>
  <c r="I36" i="14" s="1"/>
  <c r="G635" i="1"/>
  <c r="J635" i="1" s="1"/>
  <c r="I661" i="1"/>
  <c r="H664" i="1"/>
  <c r="H667" i="1" s="1"/>
  <c r="G660" i="1"/>
  <c r="G664" i="1" s="1"/>
  <c r="G667" i="1" s="1"/>
  <c r="L257" i="1"/>
  <c r="L271" i="1" s="1"/>
  <c r="G632" i="1" s="1"/>
  <c r="J632" i="1" s="1"/>
  <c r="F660" i="1"/>
  <c r="F664" i="1" s="1"/>
  <c r="F672" i="1" s="1"/>
  <c r="C4" i="10" s="1"/>
  <c r="C128" i="2"/>
  <c r="E33" i="13"/>
  <c r="D35" i="13" s="1"/>
  <c r="C141" i="2"/>
  <c r="C144" i="2" s="1"/>
  <c r="E104" i="2"/>
  <c r="L545" i="1"/>
  <c r="C63" i="2"/>
  <c r="C104" i="2" s="1"/>
  <c r="L408" i="1"/>
  <c r="C115" i="2"/>
  <c r="C25" i="13"/>
  <c r="I33" i="13"/>
  <c r="D31" i="13"/>
  <c r="C31" i="13" s="1"/>
  <c r="I461" i="1"/>
  <c r="H642" i="1" s="1"/>
  <c r="J642" i="1" s="1"/>
  <c r="K552" i="1"/>
  <c r="C28" i="10"/>
  <c r="D23" i="10" s="1"/>
  <c r="H24" i="14"/>
  <c r="I24" i="14" s="1"/>
  <c r="C51" i="2"/>
  <c r="G631" i="1"/>
  <c r="J631" i="1" s="1"/>
  <c r="G193" i="1"/>
  <c r="G628" i="1" s="1"/>
  <c r="J628" i="1" s="1"/>
  <c r="G626" i="1"/>
  <c r="J626" i="1" s="1"/>
  <c r="J52" i="1"/>
  <c r="H621" i="1" s="1"/>
  <c r="J621" i="1" s="1"/>
  <c r="C38" i="10"/>
  <c r="H672" i="1" l="1"/>
  <c r="C6" i="10" s="1"/>
  <c r="G672" i="1"/>
  <c r="C5" i="10" s="1"/>
  <c r="F667" i="1"/>
  <c r="I660" i="1"/>
  <c r="I664" i="1" s="1"/>
  <c r="I672" i="1" s="1"/>
  <c r="C7" i="10" s="1"/>
  <c r="C145" i="2"/>
  <c r="D25" i="10"/>
  <c r="G637" i="1"/>
  <c r="J637" i="1" s="1"/>
  <c r="H646" i="1"/>
  <c r="J646" i="1" s="1"/>
  <c r="D22" i="10"/>
  <c r="D18" i="10"/>
  <c r="D27" i="10"/>
  <c r="D15" i="10"/>
  <c r="D21" i="10"/>
  <c r="D24" i="10"/>
  <c r="D20" i="10"/>
  <c r="D11" i="10"/>
  <c r="D12" i="10"/>
  <c r="D13" i="10"/>
  <c r="D17" i="10"/>
  <c r="D19" i="10"/>
  <c r="D10" i="10"/>
  <c r="D26" i="10"/>
  <c r="C30" i="10"/>
  <c r="D16" i="10"/>
  <c r="D33" i="13"/>
  <c r="D36" i="13" s="1"/>
  <c r="C41" i="10"/>
  <c r="D38" i="10" s="1"/>
  <c r="I667" i="1" l="1"/>
  <c r="H656"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<sst xmlns="http://schemas.openxmlformats.org/spreadsheetml/2006/main" count="5504" uniqueCount="1610">
  <si>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</si>
  <si>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</si>
  <si>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</si>
  <si>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</si>
  <si>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</si>
  <si>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</si>
  <si>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</si>
  <si>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</si>
  <si>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</si>
  <si>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</si>
  <si>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</si>
  <si>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</si>
  <si>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</si>
  <si>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</si>
  <si>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</si>
  <si>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</si>
  <si>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</si>
  <si>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</si>
  <si>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</si>
  <si>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</si>
  <si>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</si>
  <si>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</si>
  <si>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</si>
  <si>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</si>
  <si>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</si>
  <si>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</si>
  <si>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</si>
  <si>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</si>
  <si>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</si>
  <si>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</si>
  <si>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</si>
  <si>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</si>
  <si>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</si>
  <si>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</si>
  <si>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</si>
  <si>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</si>
  <si>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</si>
  <si>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</si>
  <si>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</si>
  <si>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</si>
  <si>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</si>
  <si>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</si>
  <si>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</si>
  <si>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</si>
  <si>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</si>
  <si>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</si>
  <si>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</si>
  <si>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</si>
  <si>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</si>
  <si>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</si>
  <si>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</si>
  <si>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</si>
  <si>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</si>
  <si>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</si>
  <si>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</si>
  <si>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</si>
  <si>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</si>
  <si>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</si>
  <si>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</si>
  <si>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</si>
  <si>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</si>
  <si>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</si>
  <si>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</si>
  <si>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</si>
  <si>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</si>
  <si>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</si>
  <si>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</si>
  <si>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</si>
  <si>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</si>
  <si>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</si>
  <si>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</si>
  <si>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</si>
  <si>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</si>
  <si>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</si>
  <si>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</si>
  <si>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</si>
  <si>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</si>
  <si>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</si>
  <si>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</si>
  <si>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</si>
  <si>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</si>
  <si>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</si>
  <si>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</si>
  <si>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</si>
  <si>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</si>
  <si>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</si>
  <si>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</si>
  <si>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</si>
  <si>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</si>
  <si>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</si>
  <si>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</si>
  <si>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</si>
  <si>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</si>
  <si>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</si>
  <si>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</si>
  <si>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</si>
  <si>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</si>
  <si>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</si>
  <si>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</si>
  <si>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</si>
  <si>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</si>
  <si>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</si>
  <si>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</si>
  <si>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</si>
  <si>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</si>
  <si>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</si>
  <si>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</si>
  <si>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</si>
  <si>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</si>
  <si>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</si>
  <si>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</si>
  <si>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</si>
  <si>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</si>
  <si>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</si>
  <si>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</si>
  <si>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</si>
  <si>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</si>
  <si>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</si>
  <si>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</si>
  <si>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</si>
  <si>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</si>
  <si>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</si>
  <si>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</si>
  <si>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</si>
  <si>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</si>
  <si>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</si>
  <si>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</si>
  <si>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</si>
  <si>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</si>
  <si>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</si>
  <si>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</si>
  <si>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</si>
  <si>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</si>
  <si>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</si>
  <si>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</si>
  <si>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</si>
  <si>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</si>
  <si>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</si>
  <si>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</si>
  <si>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</si>
  <si>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</si>
  <si>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</si>
  <si>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</si>
  <si>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</si>
  <si>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</si>
  <si>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</si>
  <si>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</si>
  <si>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</si>
  <si>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</si>
  <si>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</si>
  <si>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</si>
  <si>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</si>
  <si>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</si>
  <si>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</si>
  <si>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</si>
  <si>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</si>
  <si>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</si>
  <si>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</si>
  <si>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</si>
  <si>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</si>
  <si>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</si>
  <si>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</si>
  <si>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</si>
  <si>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</si>
  <si>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</si>
  <si>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</si>
  <si>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</si>
  <si>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</si>
  <si>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</si>
  <si>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</si>
  <si>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</si>
  <si>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</si>
  <si>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</si>
  <si>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</si>
  <si>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</si>
  <si>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</si>
  <si>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</si>
  <si>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</si>
  <si>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</si>
  <si>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</si>
  <si>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</si>
  <si>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</si>
  <si>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</si>
  <si>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</si>
  <si>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</si>
  <si>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</si>
  <si>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</si>
  <si>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</si>
  <si>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</si>
  <si>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</si>
  <si>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</si>
  <si>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</si>
  <si>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</si>
  <si>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</si>
  <si>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</si>
  <si>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</si>
  <si>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</si>
  <si>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</si>
  <si>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</si>
  <si>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</si>
  <si>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</si>
  <si>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</si>
  <si>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</si>
  <si>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</si>
  <si>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</si>
  <si>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</si>
  <si>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</si>
  <si>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</si>
  <si>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</si>
  <si>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</si>
  <si>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</si>
  <si>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</si>
  <si>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</si>
  <si>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</si>
  <si>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</si>
  <si>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</si>
  <si>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</si>
  <si>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</si>
  <si>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</si>
  <si>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</si>
  <si>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</si>
  <si>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</si>
  <si>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</si>
  <si>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</si>
  <si>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</si>
  <si>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</si>
  <si>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</si>
  <si>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</si>
  <si>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</si>
  <si>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</si>
  <si>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</si>
  <si>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</si>
  <si>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</si>
  <si>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</si>
  <si>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</si>
  <si>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</si>
  <si>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</si>
  <si>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</si>
  <si>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</si>
  <si>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</si>
  <si>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</si>
  <si>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</si>
  <si>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</si>
  <si>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</si>
  <si>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</si>
  <si>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</si>
  <si>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</si>
  <si>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</si>
  <si>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</si>
  <si>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</si>
  <si>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</si>
  <si>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</si>
  <si>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</si>
  <si>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</si>
  <si>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</si>
  <si>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</si>
  <si>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</si>
  <si>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</si>
  <si>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</si>
  <si>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</si>
  <si>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</si>
  <si>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</si>
  <si>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</si>
  <si>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</si>
  <si>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</si>
  <si>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</si>
  <si>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</si>
  <si>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</si>
  <si>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</si>
  <si>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</si>
  <si>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</si>
  <si>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</si>
  <si>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</si>
  <si>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</si>
  <si>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</si>
  <si>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</si>
  <si>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</si>
  <si>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</si>
  <si>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</si>
  <si>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</si>
  <si>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</si>
  <si>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</si>
  <si>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</si>
  <si>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</si>
  <si>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</si>
  <si>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</si>
  <si>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</si>
  <si>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</si>
  <si>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</si>
  <si>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</si>
  <si>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</si>
  <si>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</si>
  <si>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</si>
  <si>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</si>
  <si>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</si>
  <si>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</si>
  <si>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</si>
  <si>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</si>
  <si>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</si>
  <si>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</si>
  <si>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</si>
  <si>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</si>
  <si>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</si>
  <si>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</si>
  <si>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</si>
  <si>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</si>
  <si>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</si>
  <si>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</si>
  <si>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</si>
  <si>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</si>
  <si>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</si>
  <si>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</si>
  <si>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</si>
  <si>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</si>
  <si>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</si>
  <si>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</si>
  <si>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</si>
  <si>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</si>
  <si>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</si>
  <si>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</si>
  <si>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</si>
  <si>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</si>
  <si>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</si>
  <si>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</si>
  <si>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</si>
  <si>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</si>
  <si>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</si>
  <si>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</si>
  <si>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</si>
  <si>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</si>
  <si>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</si>
  <si>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</si>
  <si>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</si>
  <si>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</si>
  <si>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</si>
  <si>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</si>
  <si>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</si>
  <si>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</si>
  <si>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</si>
  <si>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</si>
  <si>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</si>
  <si>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</si>
  <si>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</si>
  <si>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</si>
  <si>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</si>
  <si>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</si>
  <si>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</si>
  <si>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</si>
  <si>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</si>
  <si>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</si>
  <si>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</si>
  <si>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</si>
  <si>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</si>
  <si>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</si>
  <si>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</si>
  <si>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</si>
  <si>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</si>
  <si>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</si>
  <si>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</si>
  <si>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</si>
  <si>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</si>
  <si>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</si>
  <si>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</si>
  <si>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</si>
  <si>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</si>
  <si>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</si>
  <si>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</si>
  <si>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</si>
  <si>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</si>
  <si>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</si>
  <si>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</si>
  <si>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</si>
  <si>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</si>
  <si>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</si>
  <si>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</si>
  <si>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</si>
  <si>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</si>
  <si>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</si>
  <si>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</si>
  <si>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</si>
  <si>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</si>
  <si>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</si>
  <si>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</si>
  <si>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</si>
  <si>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</si>
  <si>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</si>
  <si>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</si>
  <si>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</si>
  <si>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</si>
  <si>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</si>
  <si>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</si>
  <si>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</si>
  <si>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</si>
  <si>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</si>
  <si>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</si>
  <si>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</si>
  <si>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</si>
  <si>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</si>
  <si>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</si>
  <si>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</si>
  <si>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</si>
  <si>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</si>
  <si>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</si>
  <si>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</si>
  <si>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</si>
  <si>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</si>
  <si>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</si>
  <si>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</si>
  <si>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</si>
  <si>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</si>
  <si>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</si>
  <si>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</si>
  <si>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</si>
  <si>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</si>
  <si>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</si>
  <si>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</si>
  <si>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</si>
  <si>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</si>
  <si>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</si>
  <si>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</si>
  <si>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</si>
  <si>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</si>
  <si>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</si>
  <si>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</si>
  <si>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</si>
  <si>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</si>
  <si>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</si>
  <si>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</si>
  <si>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</si>
  <si>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</si>
  <si>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</si>
  <si>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</si>
  <si>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</si>
  <si>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</si>
  <si>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</si>
  <si>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</si>
  <si>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</si>
  <si>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</si>
  <si>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</si>
  <si>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</si>
  <si>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</si>
  <si>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</si>
  <si>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</si>
  <si>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</si>
  <si>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</si>
  <si>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</si>
  <si>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</si>
  <si>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</si>
  <si>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</si>
  <si>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</si>
  <si>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</si>
  <si>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</si>
  <si>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</si>
  <si>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</si>
  <si>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</si>
  <si>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</si>
  <si>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</si>
  <si>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</si>
  <si>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</si>
  <si>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</si>
  <si>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</si>
  <si>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</si>
  <si>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</si>
  <si>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</si>
  <si>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</si>
  <si>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</si>
  <si>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</si>
  <si>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</si>
  <si>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</si>
  <si>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</si>
  <si>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</si>
  <si>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</si>
  <si>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</si>
  <si>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</si>
  <si>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</si>
  <si>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</si>
  <si>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</si>
  <si>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</si>
  <si>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</si>
  <si>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</si>
  <si>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</si>
  <si>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</si>
  <si>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</si>
  <si>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</si>
  <si>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</si>
  <si>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</si>
  <si>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</si>
  <si>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</si>
  <si>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</si>
  <si>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</si>
  <si>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</si>
  <si>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</si>
  <si>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</si>
  <si>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</si>
  <si>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</si>
  <si>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</si>
  <si>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</si>
  <si>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</si>
  <si>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</si>
  <si>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</si>
  <si>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</si>
  <si>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</si>
  <si>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</si>
  <si>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</si>
  <si>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</si>
  <si>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</si>
  <si>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</si>
  <si>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</si>
  <si>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</si>
  <si>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</si>
  <si>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</si>
  <si>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</si>
  <si>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</si>
  <si>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</si>
  <si>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</si>
  <si>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</si>
  <si>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</si>
  <si>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</si>
  <si>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</si>
  <si>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</si>
  <si>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</si>
  <si>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</si>
  <si>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</si>
  <si>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</si>
  <si>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</si>
  <si>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</si>
  <si>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</si>
  <si>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</si>
  <si>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</si>
  <si>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</si>
  <si>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</si>
  <si>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</si>
  <si>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</si>
  <si>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</si>
  <si>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</si>
  <si>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</si>
  <si>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</si>
  <si>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</si>
  <si>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</si>
  <si>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</si>
  <si>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</si>
  <si>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</si>
  <si>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</si>
  <si>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</si>
  <si>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</si>
  <si>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</si>
  <si>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</si>
  <si>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</si>
  <si>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</si>
  <si>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</si>
  <si>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</si>
  <si>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</si>
  <si>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</si>
  <si>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</si>
  <si>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</si>
  <si>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</si>
  <si>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</si>
  <si>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</si>
  <si>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</si>
  <si>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</si>
  <si>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</si>
  <si>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</si>
  <si>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</si>
  <si>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</si>
  <si>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</si>
  <si>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</si>
  <si>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</si>
  <si>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</si>
  <si>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</si>
  <si>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</si>
  <si>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</si>
  <si>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</si>
  <si>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</si>
  <si>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</si>
  <si>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</si>
  <si>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</si>
  <si>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</si>
  <si>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</si>
  <si>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</si>
  <si>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</si>
  <si>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</si>
  <si>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</si>
  <si>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</si>
  <si>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</si>
  <si>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</si>
  <si>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</si>
  <si>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</si>
  <si>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</si>
  <si>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</si>
  <si>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</si>
  <si>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</si>
  <si>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</si>
  <si>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</si>
  <si>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</si>
  <si>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</si>
  <si>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</si>
  <si>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</si>
  <si>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</si>
  <si>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</si>
  <si>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</si>
  <si>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</si>
  <si>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</si>
  <si>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</si>
  <si>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</si>
  <si>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</si>
  <si>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</si>
  <si>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</si>
  <si>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</si>
  <si>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</si>
  <si>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</si>
  <si>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</si>
  <si>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</si>
  <si>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</si>
  <si>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</si>
  <si>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</si>
  <si>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</si>
  <si>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</si>
  <si>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</si>
  <si>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</si>
  <si>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</si>
  <si>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</si>
  <si>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</si>
  <si>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</si>
  <si>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</si>
  <si>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</si>
  <si>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</si>
  <si>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</si>
  <si>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</si>
  <si>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</si>
  <si>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</si>
  <si>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</si>
  <si>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</si>
  <si>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</si>
  <si>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</si>
  <si>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</si>
  <si>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</si>
  <si>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</si>
  <si>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</si>
  <si>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</si>
  <si>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</si>
  <si>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</si>
  <si>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</si>
  <si>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</si>
  <si>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</si>
  <si>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</si>
  <si>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</si>
  <si>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</si>
  <si>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</si>
  <si>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</si>
  <si>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</si>
  <si>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</si>
  <si>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</si>
  <si>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</si>
  <si>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</si>
  <si>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</si>
  <si>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</si>
  <si>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</si>
  <si>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</si>
  <si>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</si>
  <si>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</si>
  <si>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</si>
  <si>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</si>
  <si>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</si>
  <si>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</si>
  <si>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</si>
  <si>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</si>
  <si>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</si>
  <si>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</si>
  <si>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</si>
  <si>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</si>
  <si>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</si>
  <si>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</si>
  <si>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</si>
  <si>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</si>
  <si>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</si>
  <si>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</si>
  <si>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</si>
  <si>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</si>
  <si>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</si>
  <si>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</si>
  <si>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</si>
  <si>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</si>
  <si>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</si>
  <si>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</si>
  <si>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</si>
  <si>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</si>
  <si>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</si>
  <si>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</si>
  <si>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</si>
  <si>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</si>
  <si>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</si>
  <si>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</si>
  <si>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</si>
  <si>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</si>
  <si>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</si>
  <si>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</si>
  <si>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</si>
  <si>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</si>
  <si>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</si>
  <si>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</si>
  <si>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</si>
  <si>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</si>
  <si>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</si>
  <si>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</si>
  <si>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</si>
  <si>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</si>
  <si>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</si>
  <si>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</si>
  <si>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</si>
  <si>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</si>
  <si>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</si>
  <si>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</si>
  <si>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</si>
  <si>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</si>
  <si>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</si>
  <si>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</si>
  <si>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</si>
  <si>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</si>
  <si>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</si>
  <si>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</si>
  <si>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</si>
  <si>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</si>
  <si>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</si>
  <si>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</si>
  <si>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</si>
  <si>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</si>
  <si>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</si>
  <si>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</si>
  <si>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</si>
  <si>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</si>
  <si>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</si>
  <si>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</si>
  <si>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</si>
  <si>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</si>
  <si>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</si>
  <si>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</si>
  <si>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</si>
  <si>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</si>
  <si>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</si>
  <si>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</si>
  <si>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</si>
  <si>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</si>
  <si>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</si>
  <si>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</si>
  <si>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</si>
  <si>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</si>
  <si>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</si>
  <si>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</si>
  <si>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</si>
  <si>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</si>
  <si>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</si>
  <si>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</si>
  <si>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</si>
  <si>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</si>
  <si>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</si>
  <si>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</si>
  <si>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</si>
  <si>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</si>
  <si>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</si>
  <si>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</si>
  <si>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</si>
  <si>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</si>
  <si>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</si>
  <si>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</si>
  <si>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</si>
  <si>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</si>
  <si>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</si>
  <si>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</si>
  <si>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</si>
  <si>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</si>
  <si>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</si>
  <si>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</si>
  <si>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</si>
  <si>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</si>
  <si>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</si>
  <si>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</si>
  <si>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</si>
  <si>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</si>
  <si>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</si>
  <si>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</si>
  <si>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</si>
  <si>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</si>
  <si>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</si>
  <si>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</si>
  <si>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</si>
  <si>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</si>
  <si>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</si>
  <si>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</si>
  <si>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</si>
  <si>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</si>
  <si>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</si>
  <si>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</si>
  <si>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</si>
  <si>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</si>
  <si>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</si>
  <si>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</si>
  <si>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</si>
  <si>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</si>
  <si>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</si>
  <si>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</si>
  <si>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</si>
  <si>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</si>
  <si>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</si>
  <si>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</si>
  <si>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</si>
  <si>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</si>
  <si>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</si>
  <si>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</si>
  <si>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</si>
  <si>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</si>
  <si>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</si>
  <si>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</si>
  <si>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</si>
  <si>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</si>
  <si>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</si>
  <si>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</si>
  <si>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</si>
  <si>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</si>
  <si>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</si>
  <si>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</si>
  <si>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</si>
  <si>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</si>
  <si>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</si>
  <si>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</si>
  <si>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</si>
  <si>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</si>
  <si>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</si>
  <si>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</si>
  <si>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</si>
  <si>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</si>
  <si>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</si>
  <si>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</si>
  <si>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</si>
  <si>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</si>
  <si>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</si>
  <si>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</si>
  <si>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</si>
  <si>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</si>
  <si>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</si>
  <si>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</si>
  <si>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</si>
  <si>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</si>
  <si>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</si>
  <si>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</si>
  <si>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</si>
  <si>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</si>
  <si>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</si>
  <si>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</si>
  <si>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</si>
  <si>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</si>
  <si>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</si>
  <si>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</si>
  <si>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</si>
  <si>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</si>
  <si>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</si>
  <si>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</si>
  <si>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</si>
  <si>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</si>
  <si>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</si>
  <si>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</si>
  <si>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</si>
  <si>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</si>
  <si>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</si>
  <si>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</si>
  <si>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</si>
  <si>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</si>
  <si>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</si>
  <si>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</si>
  <si>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</si>
  <si>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</si>
  <si>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</si>
  <si>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</si>
  <si>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</si>
  <si>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</si>
  <si>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</si>
  <si>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</si>
  <si>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</si>
  <si>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</si>
  <si>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</si>
  <si>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</si>
  <si>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</si>
  <si>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</si>
  <si>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</si>
  <si>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</si>
  <si>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</si>
  <si>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</si>
  <si>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</si>
  <si>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</si>
  <si>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</si>
  <si>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</si>
  <si>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</si>
  <si>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</si>
  <si>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</si>
  <si>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</si>
  <si>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</si>
  <si>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</si>
  <si>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</si>
  <si>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</si>
  <si>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</si>
  <si>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</si>
  <si>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</si>
  <si>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</si>
  <si>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</si>
  <si>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</si>
  <si>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</si>
  <si>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</si>
  <si>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</si>
  <si>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</si>
  <si>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</si>
  <si>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</si>
  <si>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</si>
  <si>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</si>
  <si>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</si>
  <si>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</si>
  <si>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</si>
  <si>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</si>
  <si>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</si>
  <si>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</si>
  <si>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</si>
  <si>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</si>
  <si>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</si>
  <si>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</si>
  <si>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</si>
  <si>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</si>
  <si>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</si>
  <si>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</si>
  <si>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</si>
  <si>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</si>
  <si>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</si>
  <si>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</si>
  <si>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</si>
  <si>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</si>
  <si>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</si>
  <si>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</si>
  <si>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</si>
  <si>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</si>
  <si>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</si>
  <si>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</si>
  <si>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</si>
  <si>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</si>
  <si>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</si>
  <si>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</si>
  <si>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</si>
  <si>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</si>
  <si>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</si>
  <si>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</si>
  <si>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</si>
  <si>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</si>
  <si>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</si>
  <si>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</si>
  <si>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</si>
  <si>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</si>
  <si>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</si>
  <si>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</si>
  <si>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</si>
  <si>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</si>
  <si>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</si>
  <si>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</si>
  <si>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</si>
  <si>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</si>
  <si>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</si>
  <si>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</si>
  <si>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</si>
  <si>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</si>
  <si>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</si>
  <si>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</si>
  <si>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</si>
  <si>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</si>
  <si>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</si>
  <si>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</si>
  <si>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</si>
  <si>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</si>
  <si>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</si>
  <si>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</si>
  <si>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</si>
  <si>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</si>
  <si>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</si>
  <si>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</si>
  <si>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</si>
  <si>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</si>
  <si>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</si>
  <si>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</si>
  <si>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</si>
  <si>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</si>
  <si>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</si>
  <si>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</si>
  <si>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</si>
  <si>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</si>
  <si>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</si>
  <si>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</si>
  <si>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</si>
  <si>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</si>
  <si>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</si>
  <si>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</si>
  <si>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</si>
  <si>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</si>
  <si>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</si>
  <si>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</si>
  <si>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</si>
  <si>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</si>
  <si>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</si>
  <si>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</si>
  <si>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</si>
  <si>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</si>
  <si>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</si>
  <si>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</si>
  <si>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</si>
  <si>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</si>
  <si>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</si>
  <si>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</si>
  <si>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</si>
  <si>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</si>
  <si>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</si>
  <si>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</si>
  <si>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</si>
  <si>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</si>
  <si>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</si>
  <si>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</si>
  <si>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</si>
  <si>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</si>
  <si>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</si>
  <si>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</si>
  <si>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</si>
  <si>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</si>
  <si>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</si>
  <si>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</si>
  <si>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</si>
  <si>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</si>
  <si>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</si>
  <si>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</si>
  <si>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</si>
  <si>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</si>
  <si>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</si>
  <si>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</si>
  <si>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</si>
  <si>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</si>
  <si>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</si>
  <si>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</si>
  <si>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</si>
  <si>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</si>
  <si>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</si>
  <si>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</si>
  <si>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</si>
  <si>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</si>
  <si>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</si>
  <si>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</si>
  <si>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</si>
  <si>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</si>
  <si>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</si>
  <si>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</si>
  <si>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</si>
  <si>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</si>
  <si>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</si>
  <si>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</si>
  <si>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</si>
  <si>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</si>
  <si>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</si>
  <si>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</si>
  <si>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</si>
  <si>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</si>
  <si>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</si>
  <si>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</si>
  <si>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</si>
  <si>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</si>
  <si>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</si>
  <si>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</si>
  <si>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</si>
  <si>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</si>
  <si>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</si>
  <si>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</si>
  <si>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</si>
  <si>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</si>
  <si>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</si>
  <si>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</si>
  <si>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</si>
  <si>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</si>
  <si>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</si>
  <si>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</si>
  <si>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</si>
  <si>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</si>
  <si>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</si>
  <si>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</si>
  <si>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</si>
  <si>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</si>
  <si>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</si>
  <si>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</si>
  <si>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</si>
  <si>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</si>
  <si>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</si>
  <si>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</si>
  <si>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</si>
  <si>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</si>
  <si>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</si>
  <si>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</si>
  <si>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</si>
  <si>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</si>
  <si>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</si>
  <si>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</si>
  <si>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</si>
  <si>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</si>
  <si>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</si>
  <si>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</si>
  <si>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</si>
  <si>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</si>
  <si>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</si>
  <si>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</si>
  <si>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</si>
  <si>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</si>
  <si>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</si>
  <si>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</si>
  <si>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</si>
  <si>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</si>
  <si>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</si>
  <si>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</si>
  <si>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</si>
  <si>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</si>
  <si>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</si>
  <si>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</si>
  <si>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</si>
  <si>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</si>
  <si>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</si>
  <si>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</si>
  <si>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</si>
  <si>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</si>
  <si>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</si>
  <si>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</si>
  <si>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</si>
  <si>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</si>
  <si>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</si>
  <si>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</si>
  <si>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</si>
  <si>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</si>
  <si>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</si>
  <si>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</si>
  <si>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</si>
  <si>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</si>
  <si>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</si>
  <si>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</si>
  <si>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</si>
  <si>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</si>
  <si>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</si>
  <si>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</si>
  <si>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</si>
  <si>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</si>
  <si>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</si>
  <si>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</si>
  <si>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</si>
  <si>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</si>
  <si>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</si>
  <si>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</si>
  <si>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</si>
  <si>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</si>
  <si>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</si>
  <si>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</si>
  <si>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</si>
  <si>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</si>
  <si>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</si>
  <si>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</si>
  <si>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</si>
  <si>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</si>
  <si>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</si>
  <si>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</si>
  <si>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</si>
  <si>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</si>
  <si>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</si>
  <si>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</si>
  <si>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</si>
  <si>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</si>
  <si>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</si>
  <si>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</si>
  <si>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</si>
  <si>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</si>
  <si>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</si>
  <si>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</si>
  <si>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</si>
  <si>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</si>
  <si>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</si>
  <si>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</si>
  <si>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</si>
  <si>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</si>
  <si>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</si>
  <si>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</si>
  <si>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</si>
  <si>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</si>
  <si>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</si>
  <si>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</si>
  <si>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</si>
  <si>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</si>
  <si>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</si>
  <si>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</si>
  <si>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</si>
  <si>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</si>
  <si>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</si>
  <si>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</si>
  <si>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</si>
  <si>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</si>
  <si>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</si>
  <si>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</si>
  <si>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</si>
  <si>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</si>
  <si>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</si>
  <si>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</si>
  <si>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</si>
  <si>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</si>
  <si>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</si>
  <si>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</si>
  <si>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</si>
  <si>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</si>
  <si>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</si>
  <si>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</si>
  <si>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</si>
  <si>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</si>
  <si>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</si>
  <si>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</si>
  <si>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</si>
  <si>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</si>
  <si>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</si>
  <si>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</si>
  <si>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</si>
  <si>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</si>
  <si>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</si>
  <si>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</si>
  <si>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</si>
  <si>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</si>
  <si>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</si>
  <si>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</si>
  <si>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</si>
  <si>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</si>
  <si>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</si>
  <si>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</si>
  <si>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</si>
  <si>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</si>
  <si>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</si>
  <si>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</si>
  <si>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</si>
  <si>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</si>
  <si>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</si>
  <si>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</si>
  <si>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</si>
  <si>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</si>
  <si>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</si>
  <si>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</si>
  <si>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</si>
  <si>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</si>
  <si>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</si>
  <si>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</si>
  <si>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</si>
  <si>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</si>
  <si>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</si>
  <si>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</si>
  <si>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</si>
  <si>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</si>
  <si>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</si>
  <si>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</si>
  <si>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</si>
  <si>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</si>
  <si>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</si>
  <si>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</si>
  <si>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</si>
  <si>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</si>
  <si>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</si>
  <si>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</si>
  <si>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</si>
  <si>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</si>
  <si>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</si>
  <si>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</si>
  <si>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</si>
  <si>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</si>
  <si>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</si>
  <si>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</si>
  <si>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</si>
  <si>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</si>
  <si>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</si>
  <si>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</si>
  <si>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</si>
  <si>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</si>
  <si>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</si>
  <si>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</si>
  <si>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</si>
  <si>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</si>
  <si>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</si>
  <si>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</si>
  <si>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</si>
  <si>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</si>
  <si>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</si>
  <si>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</si>
  <si>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</si>
  <si>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</si>
  <si>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</si>
  <si>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</si>
  <si>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</si>
  <si>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</si>
  <si>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</si>
  <si>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</si>
  <si>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</si>
  <si>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</si>
  <si>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</si>
  <si>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</si>
  <si>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</si>
  <si>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</si>
  <si>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</si>
  <si>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</si>
  <si>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</si>
  <si>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</si>
  <si>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</si>
  <si>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</si>
  <si>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</si>
  <si>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</si>
  <si>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</si>
  <si>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</si>
  <si>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</si>
  <si>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</si>
  <si>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</si>
  <si>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</si>
  <si>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</si>
  <si>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</si>
  <si>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</si>
  <si>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</si>
  <si>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</si>
  <si>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</si>
  <si>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</si>
  <si>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</si>
  <si>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</si>
  <si>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</si>
  <si>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</si>
  <si>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</si>
  <si>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</si>
  <si>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</si>
  <si>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</si>
  <si>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</si>
  <si>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</si>
  <si>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</si>
  <si>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</si>
  <si>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</si>
  <si>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</si>
  <si>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</si>
  <si>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</si>
  <si>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</si>
  <si>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</si>
  <si>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</si>
  <si>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</si>
  <si>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</si>
  <si>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</si>
  <si>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</si>
  <si>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</si>
  <si>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</si>
  <si>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</si>
  <si>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</si>
  <si>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</si>
  <si>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</si>
  <si>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</si>
  <si>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</si>
  <si>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</si>
  <si>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</si>
  <si>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</si>
  <si>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</si>
  <si>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</si>
  <si>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</si>
  <si>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</si>
  <si>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</si>
  <si>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</si>
  <si>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</si>
  <si>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</si>
  <si>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</si>
  <si>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</si>
  <si>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</si>
  <si>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</si>
  <si>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</si>
  <si>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</si>
  <si>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</si>
  <si>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</si>
  <si>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</si>
  <si>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</si>
  <si>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</si>
  <si>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</si>
  <si>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</si>
  <si>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</si>
  <si>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</si>
  <si>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</si>
  <si>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</si>
  <si>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</si>
  <si>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</si>
  <si>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</si>
  <si>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</si>
  <si>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</si>
  <si>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</si>
  <si>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</si>
  <si>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</si>
  <si>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</si>
  <si>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</si>
  <si>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</si>
  <si>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</si>
  <si>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</si>
  <si>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</si>
  <si>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</si>
  <si>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</si>
  <si>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</si>
  <si>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</si>
  <si>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</si>
  <si>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</si>
  <si>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</si>
  <si>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</si>
  <si>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</si>
  <si>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</si>
  <si>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</si>
  <si>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</si>
  <si>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</si>
  <si>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</si>
  <si>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</si>
  <si>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</si>
  <si>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</si>
  <si>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</si>
  <si>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</si>
  <si>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</si>
  <si>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</si>
  <si>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</si>
  <si>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</si>
  <si>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</si>
  <si>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</si>
  <si>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</si>
  <si>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</si>
  <si>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</si>
  <si>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</si>
  <si>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</si>
  <si>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</si>
  <si>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</si>
  <si>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</si>
  <si>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</si>
  <si>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</si>
  <si>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</si>
  <si>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</si>
  <si>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</si>
  <si>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</si>
  <si>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</si>
  <si>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</si>
  <si>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</si>
  <si>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</si>
  <si>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</si>
  <si>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</si>
  <si>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</si>
  <si>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</si>
  <si>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</si>
  <si>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</si>
  <si>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</si>
  <si>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</si>
  <si>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</si>
  <si>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</si>
  <si>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</si>
  <si>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</si>
  <si>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</si>
  <si>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</si>
  <si>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</si>
  <si>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</si>
  <si>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</si>
  <si>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</si>
  <si>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</si>
  <si>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</si>
  <si>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</si>
  <si>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</si>
  <si>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</si>
  <si>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</si>
  <si>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</si>
  <si>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</si>
  <si>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</si>
  <si>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</si>
  <si>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</si>
  <si>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</si>
  <si>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</si>
  <si>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</si>
  <si>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</si>
  <si>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</si>
  <si>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</si>
  <si>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</si>
  <si>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</si>
  <si>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</si>
  <si>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</si>
  <si>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</si>
  <si>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</si>
  <si>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</si>
  <si>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</si>
  <si>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</si>
  <si>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</si>
  <si>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</si>
  <si>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</si>
  <si>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</si>
  <si>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</si>
  <si>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</si>
  <si>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</si>
  <si>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</si>
  <si>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</si>
  <si>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</si>
  <si>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</si>
  <si>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</si>
  <si>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</si>
  <si>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</si>
  <si>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</si>
  <si>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</si>
  <si>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</si>
  <si>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</si>
  <si>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</si>
  <si>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</si>
  <si>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</si>
  <si>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</si>
  <si>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</si>
  <si>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</si>
  <si>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</si>
  <si>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</si>
  <si>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</si>
  <si>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</si>
  <si>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</si>
  <si>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</si>
  <si>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</si>
  <si>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</si>
  <si>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</si>
  <si>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</si>
  <si>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</si>
  <si>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</si>
  <si>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</si>
  <si>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</si>
  <si>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</si>
  <si>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</si>
  <si>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</si>
  <si>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</si>
  <si>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</si>
  <si>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</si>
  <si>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</si>
  <si>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</si>
  <si>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</si>
  <si>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</si>
  <si>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</si>
  <si>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</si>
  <si>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</si>
  <si>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</si>
  <si>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</si>
  <si>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</si>
  <si>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</si>
  <si>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</si>
  <si>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</si>
  <si>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</si>
  <si>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</si>
  <si>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</si>
  <si>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</si>
  <si>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</si>
  <si>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</si>
  <si>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</si>
  <si>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</si>
  <si>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</si>
  <si>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</si>
  <si>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</si>
  <si>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</si>
  <si>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</si>
  <si>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</si>
  <si>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</si>
  <si>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</si>
  <si>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</si>
  <si>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</si>
  <si>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</si>
  <si>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</si>
  <si>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</si>
  <si>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</si>
  <si>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</si>
  <si>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</si>
  <si>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</si>
  <si>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</si>
  <si>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</si>
  <si>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</si>
  <si>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</si>
  <si>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</si>
  <si>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</si>
  <si>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</si>
  <si>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</si>
  <si>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</si>
  <si>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</si>
  <si>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</si>
  <si>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</si>
  <si>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</si>
  <si>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</si>
  <si>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</si>
  <si>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</si>
  <si>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</si>
  <si>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</si>
  <si>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</si>
  <si>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</si>
  <si>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</si>
  <si>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</si>
  <si>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</si>
  <si>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</si>
  <si>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</si>
  <si>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</si>
  <si>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</si>
  <si>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</si>
  <si>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</si>
  <si>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</si>
  <si>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</si>
  <si>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</si>
  <si>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</si>
  <si>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</si>
  <si>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</si>
  <si>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</si>
  <si>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</si>
  <si>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</si>
  <si>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</si>
  <si>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</si>
  <si>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</si>
  <si>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</si>
  <si>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</si>
  <si>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</si>
  <si>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</si>
  <si>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</si>
  <si>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Monroe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</si>
</sst>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36"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365</v>
      </c>
      <c r="C2" s="21">
        <v>365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54744.54+100.05+342216.71</f>
        <v>397061.30000000005</v>
      </c>
      <c r="G9" s="18"/>
      <c r="H9" s="18"/>
      <c r="I9" s="18"/>
      <c r="J9" s="67">
        <f>SUM(I439)</f>
        <v>490876.56000000006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-4868.72</v>
      </c>
      <c r="G12" s="18">
        <v>10946.4</v>
      </c>
      <c r="H12" s="18">
        <v>-6077.69</v>
      </c>
      <c r="I12" s="18"/>
      <c r="J12" s="67">
        <f>SUM(I441)</f>
        <v>0.01</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1185.2</v>
      </c>
      <c r="H14" s="18">
        <v>11625.39</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6359.02</v>
      </c>
      <c r="G17" s="18">
        <v>63.15</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398551.60000000009</v>
      </c>
      <c r="G19" s="41">
        <f>SUM(G9:G18)</f>
        <v>12194.75</v>
      </c>
      <c r="H19" s="41">
        <f>SUM(H9:H18)</f>
        <v>5547.7</v>
      </c>
      <c r="I19" s="41">
        <f>SUM(I9:I18)</f>
        <v>0</v>
      </c>
      <c r="J19" s="41">
        <f>SUM(J9:J18)</f>
        <v>490876.57000000007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88906.68+87203.48</f>
        <v>176110.15999999997</v>
      </c>
      <c r="G24" s="18">
        <v>759.67</v>
      </c>
      <c r="H24" s="18">
        <v>2254.46</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-358.98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175751.17999999996</v>
      </c>
      <c r="G32" s="41">
        <f>SUM(G22:G31)</f>
        <v>759.67</v>
      </c>
      <c r="H32" s="41">
        <f>SUM(H22:H31)</f>
        <v>2254.46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11435.08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70450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3293.24</v>
      </c>
      <c r="I48" s="18"/>
      <c r="J48" s="13">
        <f>SUM(I459)</f>
        <v>490876.57000000007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152350.42000000001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222800.42</v>
      </c>
      <c r="G51" s="41">
        <f>SUM(G35:G50)</f>
        <v>11435.08</v>
      </c>
      <c r="H51" s="41">
        <f>SUM(H35:H50)</f>
        <v>3293.24</v>
      </c>
      <c r="I51" s="41">
        <f>SUM(I35:I50)</f>
        <v>0</v>
      </c>
      <c r="J51" s="41">
        <f>SUM(J35:J50)</f>
        <v>490876.57000000007</v>
      </c>
      <c r="K51" s="45" t="s">
        <v>288</v>
      </c>
      <c r="L51" s="45" t="s">
        <v>288</v>
      </c>
      <c r="N51" s="264"/>
    </row>
    <row r="52" spans="1:14" s="3" customFormat="1" ht="12.2" customHeight="1" thickTop="1" x14ac:dyDescent="0.15">
      <c r="A52" s="38" t="s">
        <v>455</v>
      </c>
      <c r="B52" s="39" t="s">
        <v>289</v>
      </c>
      <c r="C52" s="6">
        <v>37</v>
      </c>
      <c r="D52" s="39" t="s">
        <v>653</v>
      </c>
      <c r="E52" s="39"/>
      <c r="F52" s="41">
        <f>F51+F32</f>
        <v>398551.6</v>
      </c>
      <c r="G52" s="41">
        <f>G51+G32</f>
        <v>12194.75</v>
      </c>
      <c r="H52" s="41">
        <f>H51+H32</f>
        <v>5547.7</v>
      </c>
      <c r="I52" s="41">
        <f>I51+I32</f>
        <v>0</v>
      </c>
      <c r="J52" s="41">
        <f>J51+J32</f>
        <v>490876.57000000007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2544932.98+103510.02</f>
        <v>2648443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2648443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10663.23</v>
      </c>
      <c r="G96" s="18"/>
      <c r="H96" s="18"/>
      <c r="I96" s="18"/>
      <c r="J96" s="18">
        <f>281.03+172.79+27.59+4.15+228.11+495.33+3.79+1.67</f>
        <v>1214.4599999999998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18175.349999999999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256</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5069.76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26633.28+3832.82</f>
        <v>30466.1</v>
      </c>
      <c r="G110" s="18"/>
      <c r="H110" s="18">
        <v>500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46455.09</v>
      </c>
      <c r="G111" s="41">
        <f>SUM(G96:G110)</f>
        <v>18175.349999999999</v>
      </c>
      <c r="H111" s="41">
        <f>SUM(H96:H110)</f>
        <v>500</v>
      </c>
      <c r="I111" s="41">
        <f>SUM(I96:I110)</f>
        <v>0</v>
      </c>
      <c r="J111" s="41">
        <f>SUM(J96:J110)</f>
        <v>1214.4599999999998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2694898.09</v>
      </c>
      <c r="G112" s="41">
        <f>G60+G111</f>
        <v>18175.349999999999</v>
      </c>
      <c r="H112" s="41">
        <f>H60+H79+H94+H111</f>
        <v>500</v>
      </c>
      <c r="I112" s="41">
        <f>I60+I111</f>
        <v>0</v>
      </c>
      <c r="J112" s="41">
        <f>J60+J111</f>
        <v>1214.4599999999998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395009.18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169588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564597.17999999993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7027.79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732.06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17080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24107.79</v>
      </c>
      <c r="G136" s="41">
        <f>SUM(G123:G135)</f>
        <v>732.06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588704.97</v>
      </c>
      <c r="G140" s="41">
        <f>G121+SUM(G136:G137)</f>
        <v>732.06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18566.23</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15934.76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20078.16+6465.99+9349.74+4530.9</f>
        <v>40424.79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18717.41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3650.44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3650.44</v>
      </c>
      <c r="G162" s="41">
        <f>SUM(G150:G161)</f>
        <v>18717.41</v>
      </c>
      <c r="H162" s="41">
        <f>SUM(H150:H161)</f>
        <v>74925.78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172.97</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3823.41</v>
      </c>
      <c r="G169" s="41">
        <f>G147+G162+SUM(G163:G168)</f>
        <v>18717.41</v>
      </c>
      <c r="H169" s="41">
        <f>H147+H162+SUM(H163:H168)</f>
        <v>74925.78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28010.02</v>
      </c>
      <c r="H179" s="18"/>
      <c r="I179" s="18"/>
      <c r="J179" s="18">
        <v>75500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28010.02</v>
      </c>
      <c r="H183" s="41">
        <f>SUM(H179:H182)</f>
        <v>0</v>
      </c>
      <c r="I183" s="41">
        <f>SUM(I179:I182)</f>
        <v>0</v>
      </c>
      <c r="J183" s="41">
        <f>SUM(J179:J182)</f>
        <v>75500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28010.02</v>
      </c>
      <c r="H192" s="41">
        <f>+H183+SUM(H188:H191)</f>
        <v>0</v>
      </c>
      <c r="I192" s="41">
        <f>I177+I183+SUM(I188:I191)</f>
        <v>0</v>
      </c>
      <c r="J192" s="41">
        <f>J183</f>
        <v>75500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3287426.4699999997</v>
      </c>
      <c r="G193" s="47">
        <f>G112+G140+G169+G192</f>
        <v>65634.84</v>
      </c>
      <c r="H193" s="47">
        <f>H112+H140+H169+H192</f>
        <v>75425.78</v>
      </c>
      <c r="I193" s="47">
        <f>I112+I140+I169+I192</f>
        <v>0</v>
      </c>
      <c r="J193" s="47">
        <f>J112+J140+J192</f>
        <v>76714.460000000006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573366.25</v>
      </c>
      <c r="G197" s="18">
        <v>299165.7</v>
      </c>
      <c r="H197" s="18">
        <f>6223+280</f>
        <v>6503</v>
      </c>
      <c r="I197" s="18">
        <v>16782.77</v>
      </c>
      <c r="J197" s="18">
        <v>1229.99</v>
      </c>
      <c r="K197" s="18">
        <v>729</v>
      </c>
      <c r="L197" s="19">
        <f>SUM(F197:K197)</f>
        <v>897776.71</v>
      </c>
      <c r="M197" s="8"/>
      <c r="N197" s="266"/>
    </row>
    <row r="198" spans="1:14" s="3" customFormat="1" ht="12.2" customHeight="1" x14ac:dyDescent="0.15">
      <c r="A198" s="1" t="s">
        <v>439</v>
      </c>
      <c r="B198" s="2" t="s">
        <v>341</v>
      </c>
      <c r="C198" s="2" t="s">
        <v>291</v>
      </c>
      <c r="D198" s="2" t="s">
        <v>431</v>
      </c>
      <c r="E198" s="6">
        <v>1200</v>
      </c>
      <c r="F198" s="18">
        <v>174590.14</v>
      </c>
      <c r="G198" s="18">
        <v>126100.35</v>
      </c>
      <c r="H198" s="18">
        <f>6608.33+78+34466.94+80771.38+1623.66-34466.94</f>
        <v>89081.37000000001</v>
      </c>
      <c r="I198" s="18">
        <v>1280.27</v>
      </c>
      <c r="J198" s="18">
        <v>159.65</v>
      </c>
      <c r="K198" s="18">
        <v>1172.01</v>
      </c>
      <c r="L198" s="19">
        <f>SUM(F198:K198)</f>
        <v>392383.79000000004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7025</v>
      </c>
      <c r="G200" s="18">
        <v>617.15</v>
      </c>
      <c r="H200" s="18">
        <v>1460</v>
      </c>
      <c r="I200" s="18">
        <f>33.98+632.91</f>
        <v>666.89</v>
      </c>
      <c r="J200" s="18">
        <v>293.27999999999997</v>
      </c>
      <c r="K200" s="18">
        <v>865</v>
      </c>
      <c r="L200" s="19">
        <f>SUM(F200:K200)</f>
        <v>10927.32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48771.14+22076.15</f>
        <v>70847.290000000008</v>
      </c>
      <c r="G202" s="18">
        <f>36253.98+3542.77</f>
        <v>39796.75</v>
      </c>
      <c r="H202" s="18">
        <f>3000+240.35+13500+32926.52+1110.72+12915+1260+3999.33</f>
        <v>68951.92</v>
      </c>
      <c r="I202" s="18">
        <f>289.57+652.52</f>
        <v>942.08999999999992</v>
      </c>
      <c r="J202" s="18">
        <f>49.99</f>
        <v>49.99</v>
      </c>
      <c r="K202" s="18">
        <f>45+2039.41</f>
        <v>2084.41</v>
      </c>
      <c r="L202" s="19">
        <f t="shared" ref="L202:L208" si="0">SUM(F202:K202)</f>
        <v>182672.45</v>
      </c>
      <c r="M202" s="8"/>
      <c r="N202" s="266"/>
    </row>
    <row r="203" spans="1:14" s="3" customFormat="1" ht="12.2" customHeight="1" x14ac:dyDescent="0.15">
      <c r="A203" s="1" t="s">
        <v>443</v>
      </c>
      <c r="B203" s="2" t="s">
        <v>341</v>
      </c>
      <c r="C203" s="2" t="s">
        <v>295</v>
      </c>
      <c r="D203" s="2" t="s">
        <v>431</v>
      </c>
      <c r="E203" s="6">
        <v>2200</v>
      </c>
      <c r="F203" s="18">
        <f>3262.5+39214.93</f>
        <v>42477.43</v>
      </c>
      <c r="G203" s="18">
        <f>16597.08+25255.7</f>
        <v>41852.78</v>
      </c>
      <c r="H203" s="18">
        <f>1963.04+2799.85</f>
        <v>4762.8899999999994</v>
      </c>
      <c r="I203" s="18">
        <f>160.32+2199.4</f>
        <v>2359.7200000000003</v>
      </c>
      <c r="J203" s="18">
        <v>318.95</v>
      </c>
      <c r="K203" s="18">
        <v>150</v>
      </c>
      <c r="L203" s="19">
        <f t="shared" si="0"/>
        <v>91921.76999999999</v>
      </c>
      <c r="M203" s="8"/>
      <c r="N203" s="266"/>
    </row>
    <row r="204" spans="1:14" s="3" customFormat="1" ht="12.2" customHeight="1" x14ac:dyDescent="0.15">
      <c r="A204" s="1" t="s">
        <v>444</v>
      </c>
      <c r="B204" s="2" t="s">
        <v>341</v>
      </c>
      <c r="C204" s="2" t="s">
        <v>296</v>
      </c>
      <c r="D204" s="2" t="s">
        <v>431</v>
      </c>
      <c r="E204" s="6">
        <v>2300</v>
      </c>
      <c r="F204" s="18">
        <f>16613.33+4718.75+2500+320</f>
        <v>24152.080000000002</v>
      </c>
      <c r="G204" s="18">
        <f>2449.39+361+191.12+24.48</f>
        <v>3025.99</v>
      </c>
      <c r="H204" s="18">
        <f>77696.96+34.8+60.44+61.71+3638.56+400+1105.82+11300+62057.36</f>
        <v>156355.65000000002</v>
      </c>
      <c r="I204" s="18">
        <v>665.44</v>
      </c>
      <c r="J204" s="18"/>
      <c r="K204" s="18">
        <f>1055.42+2739.85</f>
        <v>3795.27</v>
      </c>
      <c r="L204" s="19">
        <f t="shared" si="0"/>
        <v>187994.43000000002</v>
      </c>
      <c r="M204" s="8"/>
      <c r="N204" s="266"/>
    </row>
    <row r="205" spans="1:14" s="3" customFormat="1" ht="12.2" customHeight="1" x14ac:dyDescent="0.15">
      <c r="A205" s="1" t="s">
        <v>445</v>
      </c>
      <c r="B205" s="2" t="s">
        <v>341</v>
      </c>
      <c r="C205" s="2" t="s">
        <v>297</v>
      </c>
      <c r="D205" s="2" t="s">
        <v>431</v>
      </c>
      <c r="E205" s="6">
        <v>2400</v>
      </c>
      <c r="F205" s="18">
        <v>135015.25</v>
      </c>
      <c r="G205" s="18">
        <v>42286.13</v>
      </c>
      <c r="H205" s="18">
        <f>638.48+11539.43+3929.52</f>
        <v>16107.43</v>
      </c>
      <c r="I205" s="18">
        <f>9112+136.41</f>
        <v>9248.41</v>
      </c>
      <c r="J205" s="18"/>
      <c r="K205" s="18">
        <v>2807.26</v>
      </c>
      <c r="L205" s="19">
        <f t="shared" si="0"/>
        <v>205464.48</v>
      </c>
      <c r="M205" s="8"/>
      <c r="N205" s="266"/>
    </row>
    <row r="206" spans="1:14" s="3" customFormat="1" ht="12.2" customHeight="1" x14ac:dyDescent="0.15">
      <c r="A206" s="1" t="s">
        <v>446</v>
      </c>
      <c r="B206" s="2" t="s">
        <v>341</v>
      </c>
      <c r="C206" s="2" t="s">
        <v>298</v>
      </c>
      <c r="D206" s="2" t="s">
        <v>431</v>
      </c>
      <c r="E206" s="6">
        <v>2500</v>
      </c>
      <c r="F206" s="18">
        <v>54636.35</v>
      </c>
      <c r="G206" s="18">
        <f>8763.9+219.84+6217.63+875+251.33+240.4+3995.51</f>
        <v>20563.61</v>
      </c>
      <c r="H206" s="18">
        <v>2044.62</v>
      </c>
      <c r="I206" s="18">
        <v>361.25</v>
      </c>
      <c r="J206" s="18"/>
      <c r="K206" s="18">
        <v>200</v>
      </c>
      <c r="L206" s="19">
        <f t="shared" si="0"/>
        <v>77805.829999999987</v>
      </c>
      <c r="M206" s="8"/>
      <c r="N206" s="266"/>
    </row>
    <row r="207" spans="1:14" s="3" customFormat="1" ht="12.2" customHeight="1" x14ac:dyDescent="0.15">
      <c r="A207" s="1" t="s">
        <v>447</v>
      </c>
      <c r="B207" s="2" t="s">
        <v>341</v>
      </c>
      <c r="C207" s="2" t="s">
        <v>299</v>
      </c>
      <c r="D207" s="2" t="s">
        <v>431</v>
      </c>
      <c r="E207" s="6">
        <v>2600</v>
      </c>
      <c r="F207" s="18">
        <v>35042.44</v>
      </c>
      <c r="G207" s="18">
        <v>15278.24</v>
      </c>
      <c r="H207" s="18">
        <f>31477.23+1836.73+1550</f>
        <v>34863.96</v>
      </c>
      <c r="I207" s="18">
        <v>36269.93</v>
      </c>
      <c r="J207" s="18">
        <v>1409.08</v>
      </c>
      <c r="K207" s="18">
        <v>970</v>
      </c>
      <c r="L207" s="19">
        <f t="shared" si="0"/>
        <v>123833.65000000001</v>
      </c>
      <c r="M207" s="8"/>
      <c r="N207" s="266"/>
    </row>
    <row r="208" spans="1:14" s="3" customFormat="1" ht="12.2" customHeight="1" x14ac:dyDescent="0.15">
      <c r="A208" s="1" t="s">
        <v>448</v>
      </c>
      <c r="B208" s="2" t="s">
        <v>341</v>
      </c>
      <c r="C208" s="2" t="s">
        <v>300</v>
      </c>
      <c r="D208" s="2" t="s">
        <v>431</v>
      </c>
      <c r="E208" s="6">
        <v>2700</v>
      </c>
      <c r="F208" s="18"/>
      <c r="G208" s="18"/>
      <c r="H208" s="18">
        <f>92423.13-48165.48+34466.94</f>
        <v>78724.59</v>
      </c>
      <c r="I208" s="18"/>
      <c r="J208" s="18"/>
      <c r="K208" s="18"/>
      <c r="L208" s="19">
        <f t="shared" si="0"/>
        <v>78724.59</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1117152.23</v>
      </c>
      <c r="G211" s="41">
        <f t="shared" si="1"/>
        <v>588686.70000000007</v>
      </c>
      <c r="H211" s="41">
        <f t="shared" si="1"/>
        <v>458855.43000000005</v>
      </c>
      <c r="I211" s="41">
        <f t="shared" si="1"/>
        <v>68576.77</v>
      </c>
      <c r="J211" s="41">
        <f t="shared" si="1"/>
        <v>3460.94</v>
      </c>
      <c r="K211" s="41">
        <f t="shared" si="1"/>
        <v>12772.95</v>
      </c>
      <c r="L211" s="41">
        <f t="shared" si="1"/>
        <v>2249505.02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732511.53</v>
      </c>
      <c r="I233" s="18"/>
      <c r="J233" s="18"/>
      <c r="K233" s="18"/>
      <c r="L233" s="19">
        <f>SUM(F233:K233)</f>
        <v>732511.53</v>
      </c>
      <c r="M233" s="8"/>
      <c r="N233" s="266"/>
    </row>
    <row r="234" spans="1:14" s="3" customFormat="1" ht="12.2" customHeight="1" x14ac:dyDescent="0.15">
      <c r="A234" s="1" t="s">
        <v>439</v>
      </c>
      <c r="B234" s="2" t="s">
        <v>350</v>
      </c>
      <c r="C234" s="2" t="s">
        <v>291</v>
      </c>
      <c r="D234" s="2" t="s">
        <v>431</v>
      </c>
      <c r="E234" s="6">
        <v>1200</v>
      </c>
      <c r="F234" s="18">
        <v>1338.24</v>
      </c>
      <c r="G234" s="18">
        <v>102.37</v>
      </c>
      <c r="H234" s="18">
        <v>87580.29</v>
      </c>
      <c r="I234" s="18"/>
      <c r="J234" s="18"/>
      <c r="K234" s="18"/>
      <c r="L234" s="19">
        <f>SUM(F234:K234)</f>
        <v>89020.9</v>
      </c>
      <c r="M234" s="8"/>
      <c r="N234" s="266"/>
    </row>
    <row r="235" spans="1:14" s="3" customFormat="1" ht="12.2" customHeight="1" x14ac:dyDescent="0.15">
      <c r="A235" s="1" t="s">
        <v>440</v>
      </c>
      <c r="B235" s="2" t="s">
        <v>350</v>
      </c>
      <c r="C235" s="2" t="s">
        <v>292</v>
      </c>
      <c r="D235" s="2" t="s">
        <v>431</v>
      </c>
      <c r="E235" s="6">
        <v>1300</v>
      </c>
      <c r="F235" s="18"/>
      <c r="G235" s="18"/>
      <c r="H235" s="18">
        <v>2528</v>
      </c>
      <c r="I235" s="18"/>
      <c r="J235" s="18"/>
      <c r="K235" s="18"/>
      <c r="L235" s="19">
        <f>SUM(F235:K235)</f>
        <v>2528</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16838.88</v>
      </c>
      <c r="I238" s="18"/>
      <c r="J238" s="18"/>
      <c r="K238" s="18"/>
      <c r="L238" s="19">
        <f t="shared" ref="L238:L244" si="4">SUM(F238:K238)</f>
        <v>16838.88</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48165.48</v>
      </c>
      <c r="I244" s="18"/>
      <c r="J244" s="18"/>
      <c r="K244" s="18"/>
      <c r="L244" s="19">
        <f t="shared" si="4"/>
        <v>48165.48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1338.24</v>
      </c>
      <c r="G247" s="41">
        <f t="shared" si="5"/>
        <v>102.37</v>
      </c>
      <c r="H247" s="41">
        <f t="shared" si="5"/>
        <v>887624.18</v>
      </c>
      <c r="I247" s="41">
        <f t="shared" si="5"/>
        <v>0</v>
      </c>
      <c r="J247" s="41">
        <f t="shared" si="5"/>
        <v>0</v>
      </c>
      <c r="K247" s="41">
        <f t="shared" si="5"/>
        <v>0</v>
      </c>
      <c r="L247" s="41">
        <f t="shared" si="5"/>
        <v>889064.79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31192.62</v>
      </c>
      <c r="I255" s="18"/>
      <c r="J255" s="18"/>
      <c r="K255" s="18"/>
      <c r="L255" s="19">
        <f t="shared" si="6"/>
        <v>31192.62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31192.62</v>
      </c>
      <c r="I256" s="41">
        <f t="shared" si="7"/>
        <v>0</v>
      </c>
      <c r="J256" s="41">
        <f t="shared" si="7"/>
        <v>0</v>
      </c>
      <c r="K256" s="41">
        <f t="shared" si="7"/>
        <v>0</v>
      </c>
      <c r="L256" s="41">
        <f>SUM(F256:K256)</f>
        <v>31192.62</v>
      </c>
      <c r="M256" s="8"/>
      <c r="N256" s="266"/>
    </row>
    <row r="257" spans="1:14" s="3" customFormat="1" ht="12.2" customHeight="1" thickTop="1" x14ac:dyDescent="0.15">
      <c r="A257" s="38" t="s">
        <v>462</v>
      </c>
      <c r="B257" s="40">
        <v>10</v>
      </c>
      <c r="C257" s="40">
        <v>8</v>
      </c>
      <c r="D257" s="39" t="s">
        <v>431</v>
      </c>
      <c r="E257" s="40"/>
      <c r="F257" s="41">
        <f t="shared" ref="F257:L257" si="8">F211+F229+F247+F256</f>
        <v>1118490.47</v>
      </c>
      <c r="G257" s="41">
        <f t="shared" si="8"/>
        <v>588789.07000000007</v>
      </c>
      <c r="H257" s="41">
        <f t="shared" si="8"/>
        <v>1377672.2300000002</v>
      </c>
      <c r="I257" s="41">
        <f t="shared" si="8"/>
        <v>68576.77</v>
      </c>
      <c r="J257" s="41">
        <f t="shared" si="8"/>
        <v>3460.94</v>
      </c>
      <c r="K257" s="41">
        <f t="shared" si="8"/>
        <v>12772.95</v>
      </c>
      <c r="L257" s="41">
        <f t="shared" si="8"/>
        <v>3169762.43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28010.02</v>
      </c>
      <c r="L263" s="19">
        <f>SUM(F263:K263)</f>
        <v>28010.02</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75500</v>
      </c>
      <c r="L266" s="19">
        <f t="shared" si="9"/>
        <v>75500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103510.02</v>
      </c>
      <c r="L270" s="41">
        <f t="shared" si="9"/>
        <v>103510.02</v>
      </c>
      <c r="N270" s="264"/>
    </row>
    <row r="271" spans="1:14" s="3" customFormat="1" ht="12.2" customHeight="1" thickTop="1" x14ac:dyDescent="0.2">
      <c r="A271" s="43" t="s">
        <v>464</v>
      </c>
      <c r="B271" s="40">
        <v>10</v>
      </c>
      <c r="C271" s="40">
        <v>18</v>
      </c>
      <c r="D271" s="39" t="s">
        <v>431</v>
      </c>
      <c r="E271" s="40"/>
      <c r="F271" s="42">
        <f t="shared" ref="F271:L271" si="11">F257+F270</f>
        <v>1118490.47</v>
      </c>
      <c r="G271" s="42">
        <f t="shared" si="11"/>
        <v>588789.07000000007</v>
      </c>
      <c r="H271" s="42">
        <f t="shared" si="11"/>
        <v>1377672.2300000002</v>
      </c>
      <c r="I271" s="42">
        <f t="shared" si="11"/>
        <v>68576.77</v>
      </c>
      <c r="J271" s="42">
        <f t="shared" si="11"/>
        <v>3460.94</v>
      </c>
      <c r="K271" s="42">
        <f t="shared" si="11"/>
        <v>116282.97</v>
      </c>
      <c r="L271" s="42">
        <f t="shared" si="11"/>
        <v>3273272.45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20816.78</v>
      </c>
      <c r="G276" s="18">
        <v>1800.53</v>
      </c>
      <c r="H276" s="18">
        <v>2358.04</v>
      </c>
      <c r="I276" s="18">
        <v>6933.71</v>
      </c>
      <c r="J276" s="18"/>
      <c r="K276" s="18"/>
      <c r="L276" s="19">
        <f>SUM(F276:K276)</f>
        <v>31909.059999999998</v>
      </c>
      <c r="M276" s="8"/>
      <c r="N276" s="266"/>
    </row>
    <row r="277" spans="1:14" s="3" customFormat="1" ht="12.2" customHeight="1" x14ac:dyDescent="0.15">
      <c r="A277" s="1" t="s">
        <v>439</v>
      </c>
      <c r="B277" s="2" t="s">
        <v>357</v>
      </c>
      <c r="C277" s="2" t="s">
        <v>291</v>
      </c>
      <c r="D277" s="2" t="s">
        <v>431</v>
      </c>
      <c r="E277" s="6">
        <v>1200</v>
      </c>
      <c r="F277" s="18">
        <v>11206.01</v>
      </c>
      <c r="G277" s="18">
        <v>2724.04</v>
      </c>
      <c r="H277" s="18">
        <v>5746.67</v>
      </c>
      <c r="I277" s="18">
        <v>401.44</v>
      </c>
      <c r="J277" s="18"/>
      <c r="K277" s="18"/>
      <c r="L277" s="19">
        <f>SUM(F277:K277)</f>
        <v>20078.16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2250</v>
      </c>
      <c r="G279" s="18">
        <f>172.02+390.6</f>
        <v>562.62</v>
      </c>
      <c r="H279" s="18">
        <v>3600</v>
      </c>
      <c r="I279" s="18">
        <v>399.18</v>
      </c>
      <c r="J279" s="18">
        <v>5686.77</v>
      </c>
      <c r="K279" s="18"/>
      <c r="L279" s="19">
        <f>SUM(F279:K279)</f>
        <v>12498.57</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400</v>
      </c>
      <c r="I281" s="18">
        <v>413.43</v>
      </c>
      <c r="J281" s="18"/>
      <c r="K281" s="18"/>
      <c r="L281" s="19">
        <f t="shared" ref="L281:L287" si="12">SUM(F281:K281)</f>
        <v>813.43000000000006</v>
      </c>
      <c r="M281" s="8"/>
      <c r="N281" s="266"/>
    </row>
    <row r="282" spans="1:14" s="3" customFormat="1" ht="12.2" customHeight="1" x14ac:dyDescent="0.15">
      <c r="A282" s="1" t="s">
        <v>443</v>
      </c>
      <c r="B282" s="2" t="s">
        <v>357</v>
      </c>
      <c r="C282" s="2" t="s">
        <v>295</v>
      </c>
      <c r="D282" s="2" t="s">
        <v>431</v>
      </c>
      <c r="E282" s="6">
        <v>2200</v>
      </c>
      <c r="F282" s="18"/>
      <c r="G282" s="18">
        <v>1830</v>
      </c>
      <c r="H282" s="18">
        <v>6108.2</v>
      </c>
      <c r="I282" s="18"/>
      <c r="J282" s="18"/>
      <c r="K282" s="18"/>
      <c r="L282" s="19">
        <f t="shared" si="12"/>
        <v>7938.2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1072</v>
      </c>
      <c r="I287" s="18"/>
      <c r="J287" s="18"/>
      <c r="K287" s="18"/>
      <c r="L287" s="19">
        <f t="shared" si="12"/>
        <v>1072</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34272.79</v>
      </c>
      <c r="G290" s="42">
        <f t="shared" si="13"/>
        <v>6917.19</v>
      </c>
      <c r="H290" s="42">
        <f t="shared" si="13"/>
        <v>19284.91</v>
      </c>
      <c r="I290" s="42">
        <f t="shared" si="13"/>
        <v>8147.76</v>
      </c>
      <c r="J290" s="42">
        <f t="shared" si="13"/>
        <v>5686.77</v>
      </c>
      <c r="K290" s="42">
        <f t="shared" si="13"/>
        <v>0</v>
      </c>
      <c r="L290" s="41">
        <f t="shared" si="13"/>
        <v>74309.42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34272.79</v>
      </c>
      <c r="G338" s="41">
        <f t="shared" si="20"/>
        <v>6917.19</v>
      </c>
      <c r="H338" s="41">
        <f t="shared" si="20"/>
        <v>19284.91</v>
      </c>
      <c r="I338" s="41">
        <f t="shared" si="20"/>
        <v>8147.76</v>
      </c>
      <c r="J338" s="41">
        <f t="shared" si="20"/>
        <v>5686.77</v>
      </c>
      <c r="K338" s="41">
        <f t="shared" si="20"/>
        <v>0</v>
      </c>
      <c r="L338" s="41">
        <f t="shared" si="20"/>
        <v>74309.42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34272.79</v>
      </c>
      <c r="G352" s="41">
        <f>G338</f>
        <v>6917.19</v>
      </c>
      <c r="H352" s="41">
        <f>H338</f>
        <v>19284.91</v>
      </c>
      <c r="I352" s="41">
        <f>I338</f>
        <v>8147.76</v>
      </c>
      <c r="J352" s="41">
        <f>J338</f>
        <v>5686.77</v>
      </c>
      <c r="K352" s="47">
        <f>K338+K351</f>
        <v>0</v>
      </c>
      <c r="L352" s="41">
        <f>L338+L351</f>
        <v>74309.42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33453.699999999997</v>
      </c>
      <c r="G358" s="18">
        <v>15079.38</v>
      </c>
      <c r="H358" s="18">
        <f>1314.07+484.32</f>
        <v>1798.3899999999999</v>
      </c>
      <c r="I358" s="18">
        <v>24423.040000000001</v>
      </c>
      <c r="J358" s="18">
        <v>253.95</v>
      </c>
      <c r="K358" s="18"/>
      <c r="L358" s="13">
        <f>SUM(F358:K358)</f>
        <v>75008.459999999992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33453.699999999997</v>
      </c>
      <c r="G362" s="47">
        <f t="shared" si="22"/>
        <v>15079.38</v>
      </c>
      <c r="H362" s="47">
        <f t="shared" si="22"/>
        <v>1798.3899999999999</v>
      </c>
      <c r="I362" s="47">
        <f t="shared" si="22"/>
        <v>24423.040000000001</v>
      </c>
      <c r="J362" s="47">
        <f t="shared" si="22"/>
        <v>253.95</v>
      </c>
      <c r="K362" s="47">
        <f t="shared" si="22"/>
        <v>0</v>
      </c>
      <c r="L362" s="47">
        <f t="shared" si="22"/>
        <v>75008.459999999992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16982.15+3337.78</f>
        <v>20319.93</v>
      </c>
      <c r="G367" s="18"/>
      <c r="H367" s="18"/>
      <c r="I367" s="56">
        <f>SUM(F367:H367)</f>
        <v>20319.93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2547.19+1555.92</f>
        <v>4103.1100000000006</v>
      </c>
      <c r="G368" s="63"/>
      <c r="H368" s="63"/>
      <c r="I368" s="56">
        <f>SUM(F368:H368)</f>
        <v>4103.1100000000006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24423.040000000001</v>
      </c>
      <c r="G369" s="47">
        <f>SUM(G367:G368)</f>
        <v>0</v>
      </c>
      <c r="H369" s="47">
        <f>SUM(H367:H368)</f>
        <v>0</v>
      </c>
      <c r="I369" s="47">
        <f>SUM(I367:I368)</f>
        <v>24423.040000000001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35000</v>
      </c>
      <c r="H389" s="18">
        <v>281.02999999999997</v>
      </c>
      <c r="I389" s="18"/>
      <c r="J389" s="24" t="s">
        <v>288</v>
      </c>
      <c r="K389" s="24" t="s">
        <v>288</v>
      </c>
      <c r="L389" s="56">
        <f t="shared" si="25"/>
        <v>35281.03</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20500</v>
      </c>
      <c r="H392" s="18">
        <v>208.32</v>
      </c>
      <c r="I392" s="18"/>
      <c r="J392" s="24" t="s">
        <v>288</v>
      </c>
      <c r="K392" s="24" t="s">
        <v>288</v>
      </c>
      <c r="L392" s="56">
        <f t="shared" si="25"/>
        <v>20708.32</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55500</v>
      </c>
      <c r="H393" s="139">
        <f>SUM(H387:H392)</f>
        <v>489.34999999999997</v>
      </c>
      <c r="I393" s="65">
        <f>SUM(I387:I392)</f>
        <v>0</v>
      </c>
      <c r="J393" s="45" t="s">
        <v>288</v>
      </c>
      <c r="K393" s="45" t="s">
        <v>288</v>
      </c>
      <c r="L393" s="47">
        <f>SUM(L387:L392)</f>
        <v>55989.35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15000</v>
      </c>
      <c r="H397" s="18">
        <v>495.33</v>
      </c>
      <c r="I397" s="18"/>
      <c r="J397" s="24" t="s">
        <v>288</v>
      </c>
      <c r="K397" s="24" t="s">
        <v>288</v>
      </c>
      <c r="L397" s="56">
        <f t="shared" si="26"/>
        <v>15495.33</v>
      </c>
      <c r="M397" s="8"/>
      <c r="N397" s="266"/>
    </row>
    <row r="398" spans="1:14" s="3" customFormat="1" ht="12.2" customHeight="1" x14ac:dyDescent="0.15">
      <c r="A398" s="79" t="s">
        <v>558</v>
      </c>
      <c r="B398" s="2" t="s">
        <v>381</v>
      </c>
      <c r="C398" s="6">
        <v>11</v>
      </c>
      <c r="D398" s="2" t="s">
        <v>432</v>
      </c>
      <c r="E398" s="6"/>
      <c r="F398" s="18"/>
      <c r="G398" s="18"/>
      <c r="H398" s="18">
        <v>228.11</v>
      </c>
      <c r="I398" s="18"/>
      <c r="J398" s="24" t="s">
        <v>288</v>
      </c>
      <c r="K398" s="24" t="s">
        <v>288</v>
      </c>
      <c r="L398" s="56">
        <f t="shared" si="26"/>
        <v>228.11</v>
      </c>
      <c r="M398" s="8"/>
      <c r="N398" s="266"/>
    </row>
    <row r="399" spans="1:14" s="3" customFormat="1" ht="12.2" customHeight="1" x14ac:dyDescent="0.15">
      <c r="A399" s="79" t="s">
        <v>559</v>
      </c>
      <c r="B399" s="2" t="s">
        <v>381</v>
      </c>
      <c r="C399" s="6">
        <v>12</v>
      </c>
      <c r="D399" s="2" t="s">
        <v>432</v>
      </c>
      <c r="E399" s="6"/>
      <c r="F399" s="18"/>
      <c r="G399" s="18">
        <v>5000</v>
      </c>
      <c r="H399" s="18">
        <v>1.67</v>
      </c>
      <c r="I399" s="18"/>
      <c r="J399" s="24" t="s">
        <v>288</v>
      </c>
      <c r="K399" s="24" t="s">
        <v>288</v>
      </c>
      <c r="L399" s="56">
        <f t="shared" si="26"/>
        <v>5001.67</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20000</v>
      </c>
      <c r="H401" s="47">
        <f>SUM(H395:H400)</f>
        <v>725.11</v>
      </c>
      <c r="I401" s="47">
        <f>SUM(I395:I400)</f>
        <v>0</v>
      </c>
      <c r="J401" s="45" t="s">
        <v>288</v>
      </c>
      <c r="K401" s="45" t="s">
        <v>288</v>
      </c>
      <c r="L401" s="47">
        <f>SUM(L395:L400)</f>
        <v>20725.11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75500</v>
      </c>
      <c r="H408" s="47">
        <f>H393+H401+H407</f>
        <v>1214.46</v>
      </c>
      <c r="I408" s="47">
        <f>I393+I401+I407</f>
        <v>0</v>
      </c>
      <c r="J408" s="24" t="s">
        <v>288</v>
      </c>
      <c r="K408" s="24" t="s">
        <v>288</v>
      </c>
      <c r="L408" s="47">
        <f>L393+L401+L407</f>
        <v>76714.459999999992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v>5292</v>
      </c>
      <c r="I415" s="18"/>
      <c r="J415" s="18"/>
      <c r="K415" s="18"/>
      <c r="L415" s="56">
        <f t="shared" si="27"/>
        <v>5292</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5292</v>
      </c>
      <c r="I419" s="139">
        <f t="shared" si="28"/>
        <v>0</v>
      </c>
      <c r="J419" s="139">
        <f t="shared" si="28"/>
        <v>0</v>
      </c>
      <c r="K419" s="139">
        <f t="shared" si="28"/>
        <v>0</v>
      </c>
      <c r="L419" s="47">
        <f t="shared" si="28"/>
        <v>5292</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5292</v>
      </c>
      <c r="I434" s="47">
        <f t="shared" si="32"/>
        <v>0</v>
      </c>
      <c r="J434" s="47">
        <f t="shared" si="32"/>
        <v>0</v>
      </c>
      <c r="K434" s="47">
        <f t="shared" si="32"/>
        <v>0</v>
      </c>
      <c r="L434" s="47">
        <f t="shared" si="32"/>
        <v>5292</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194346.47+355.75</f>
        <v>194702.22</v>
      </c>
      <c r="G439" s="18">
        <f>91453.88+199718.79+5001.67</f>
        <v>296174.34000000003</v>
      </c>
      <c r="H439" s="18"/>
      <c r="I439" s="56">
        <f t="shared" ref="I439:I445" si="33">SUM(F439:H439)</f>
        <v>490876.56000000006</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0.01</v>
      </c>
      <c r="G441" s="18"/>
      <c r="H441" s="18"/>
      <c r="I441" s="56">
        <f t="shared" si="33"/>
        <v>0.01</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194702.23</v>
      </c>
      <c r="G446" s="13">
        <f>SUM(G439:G445)</f>
        <v>296174.34000000003</v>
      </c>
      <c r="H446" s="13">
        <f>SUM(H439:H445)</f>
        <v>0</v>
      </c>
      <c r="I446" s="13">
        <f>SUM(I439:I445)</f>
        <v>490876.57000000007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194346.48+355.75</f>
        <v>194702.23</v>
      </c>
      <c r="G459" s="18">
        <f>91453.88+199718.79+5001.67</f>
        <v>296174.34000000003</v>
      </c>
      <c r="H459" s="18"/>
      <c r="I459" s="56">
        <f t="shared" si="34"/>
        <v>490876.57000000007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194702.23</v>
      </c>
      <c r="G460" s="83">
        <f>SUM(G454:G459)</f>
        <v>296174.34000000003</v>
      </c>
      <c r="H460" s="83">
        <f>SUM(H454:H459)</f>
        <v>0</v>
      </c>
      <c r="I460" s="83">
        <f>SUM(I454:I459)</f>
        <v>490876.57000000007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194702.23</v>
      </c>
      <c r="G461" s="42">
        <f>G452+G460</f>
        <v>296174.34000000003</v>
      </c>
      <c r="H461" s="42">
        <f>H452+H460</f>
        <v>0</v>
      </c>
      <c r="I461" s="42">
        <f>I452+I460</f>
        <v>490876.57000000007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208646.39999999999</v>
      </c>
      <c r="G465" s="18">
        <v>20808.7</v>
      </c>
      <c r="H465" s="18">
        <f>2176.88</f>
        <v>2176.88</v>
      </c>
      <c r="I465" s="18"/>
      <c r="J465" s="18">
        <f>143652.92+91225.77+184223.46+351.96+0</f>
        <v>419454.11000000004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3183916.45+103510.02</f>
        <v>3287426.47</v>
      </c>
      <c r="G468" s="18">
        <v>65634.84</v>
      </c>
      <c r="H468" s="18">
        <f>74925.78+500</f>
        <v>75425.78</v>
      </c>
      <c r="I468" s="18"/>
      <c r="J468" s="18">
        <f>5001.67+15495.33+228.11+55985.56+3.79</f>
        <v>76714.459999999992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3287426.47</v>
      </c>
      <c r="G470" s="53">
        <f>SUM(G468:G469)</f>
        <v>65634.84</v>
      </c>
      <c r="H470" s="53">
        <f>SUM(H468:H469)</f>
        <v>75425.78</v>
      </c>
      <c r="I470" s="53">
        <f>SUM(I468:I469)</f>
        <v>0</v>
      </c>
      <c r="J470" s="53">
        <f>SUM(J468:J469)</f>
        <v>76714.459999999992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3169762.43+75500+28010.02</f>
        <v>3273272.45</v>
      </c>
      <c r="G472" s="18">
        <v>75008.460000000006</v>
      </c>
      <c r="H472" s="18">
        <f>73809.42+500</f>
        <v>74309.42</v>
      </c>
      <c r="I472" s="18"/>
      <c r="J472" s="18">
        <f>5292</f>
        <v>5292</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3273272.45</v>
      </c>
      <c r="G474" s="53">
        <f>SUM(G472:G473)</f>
        <v>75008.460000000006</v>
      </c>
      <c r="H474" s="53">
        <f>SUM(H472:H473)</f>
        <v>74309.42</v>
      </c>
      <c r="I474" s="53">
        <f>SUM(I472:I473)</f>
        <v>0</v>
      </c>
      <c r="J474" s="53">
        <f>SUM(J472:J473)</f>
        <v>5292</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222800.41999999993</v>
      </c>
      <c r="G476" s="53">
        <f>(G465+G470)- G474</f>
        <v>11435.079999999987</v>
      </c>
      <c r="H476" s="53">
        <f>(H465+H470)- H474</f>
        <v>3293.2400000000052</v>
      </c>
      <c r="I476" s="53">
        <f>(I465+I470)- I474</f>
        <v>0</v>
      </c>
      <c r="J476" s="53">
        <f>(J465+J470)- J474</f>
        <v>490876.57000000007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174590.14</v>
      </c>
      <c r="G521" s="18">
        <v>126100.35</v>
      </c>
      <c r="H521" s="18">
        <f>6608.33+78+34466.94+80771.38+1623.66-34466.94</f>
        <v>89081.37000000001</v>
      </c>
      <c r="I521" s="18">
        <v>1280.27</v>
      </c>
      <c r="J521" s="18">
        <v>159.65</v>
      </c>
      <c r="K521" s="18">
        <v>1172.01</v>
      </c>
      <c r="L521" s="88">
        <f>SUM(F521:K521)</f>
        <v>392383.79000000004</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1338.24</v>
      </c>
      <c r="G523" s="18">
        <v>102.37</v>
      </c>
      <c r="H523" s="18">
        <f>21261.5+3460.04+62858.75</f>
        <v>87580.290000000008</v>
      </c>
      <c r="I523" s="18"/>
      <c r="J523" s="18"/>
      <c r="K523" s="18"/>
      <c r="L523" s="88">
        <f>SUM(F523:K523)</f>
        <v>89020.900000000009</v>
      </c>
      <c r="N523" s="265"/>
    </row>
    <row r="524" spans="1:14" s="52" customFormat="1" ht="12.2" customHeight="1" thickTop="1" x14ac:dyDescent="0.2">
      <c r="A524" s="139" t="s">
        <v>63</v>
      </c>
      <c r="B524" s="107">
        <v>21</v>
      </c>
      <c r="C524" s="195">
        <v>4</v>
      </c>
      <c r="D524" s="196" t="s">
        <v>432</v>
      </c>
      <c r="E524" s="195"/>
      <c r="F524" s="108">
        <f>SUM(F521:F523)</f>
        <v>175928.38</v>
      </c>
      <c r="G524" s="108">
        <f t="shared" ref="G524:L524" si="36">SUM(G521:G523)</f>
        <v>126202.72</v>
      </c>
      <c r="H524" s="108">
        <f t="shared" si="36"/>
        <v>176661.66000000003</v>
      </c>
      <c r="I524" s="108">
        <f t="shared" si="36"/>
        <v>1280.27</v>
      </c>
      <c r="J524" s="108">
        <f t="shared" si="36"/>
        <v>159.65</v>
      </c>
      <c r="K524" s="108">
        <f t="shared" si="36"/>
        <v>1172.01</v>
      </c>
      <c r="L524" s="89">
        <f t="shared" si="36"/>
        <v>481404.69000000006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13500+1110.72+32926.52+14175+3999.33</f>
        <v>65711.569999999992</v>
      </c>
      <c r="I526" s="18"/>
      <c r="J526" s="18"/>
      <c r="K526" s="18"/>
      <c r="L526" s="88">
        <f>SUM(F526:K526)</f>
        <v>65711.569999999992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f>13464+374.88</f>
        <v>13838.88</v>
      </c>
      <c r="I528" s="18"/>
      <c r="J528" s="18"/>
      <c r="K528" s="18"/>
      <c r="L528" s="88">
        <f>SUM(F528:K528)</f>
        <v>13838.88</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79550.45</v>
      </c>
      <c r="I529" s="89">
        <f t="shared" si="37"/>
        <v>0</v>
      </c>
      <c r="J529" s="89">
        <f t="shared" si="37"/>
        <v>0</v>
      </c>
      <c r="K529" s="89">
        <f t="shared" si="37"/>
        <v>0</v>
      </c>
      <c r="L529" s="89">
        <f t="shared" si="37"/>
        <v>79550.45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34466.94</v>
      </c>
      <c r="I541" s="18"/>
      <c r="J541" s="18"/>
      <c r="K541" s="18"/>
      <c r="L541" s="88">
        <f>SUM(F541:K541)</f>
        <v>34466.94</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34466.94</v>
      </c>
      <c r="I544" s="193">
        <f t="shared" si="40"/>
        <v>0</v>
      </c>
      <c r="J544" s="193">
        <f t="shared" si="40"/>
        <v>0</v>
      </c>
      <c r="K544" s="193">
        <f t="shared" si="40"/>
        <v>0</v>
      </c>
      <c r="L544" s="193">
        <f t="shared" si="40"/>
        <v>34466.94</v>
      </c>
      <c r="M544" s="8"/>
      <c r="N544" s="266"/>
    </row>
    <row r="545" spans="1:14" s="3" customFormat="1" ht="12.2" customHeight="1" thickTop="1" x14ac:dyDescent="0.15">
      <c r="A545" s="98" t="s">
        <v>72</v>
      </c>
      <c r="B545" s="107">
        <v>21</v>
      </c>
      <c r="C545" s="107">
        <v>21</v>
      </c>
      <c r="D545" s="158" t="s">
        <v>432</v>
      </c>
      <c r="E545" s="107"/>
      <c r="F545" s="89">
        <f>F524+F529+F534+F539+F544</f>
        <v>175928.38</v>
      </c>
      <c r="G545" s="89">
        <f t="shared" ref="G545:L545" si="41">G524+G529+G534+G539+G544</f>
        <v>126202.72</v>
      </c>
      <c r="H545" s="89">
        <f t="shared" si="41"/>
        <v>290679.05000000005</v>
      </c>
      <c r="I545" s="89">
        <f t="shared" si="41"/>
        <v>1280.27</v>
      </c>
      <c r="J545" s="89">
        <f t="shared" si="41"/>
        <v>159.65</v>
      </c>
      <c r="K545" s="89">
        <f t="shared" si="41"/>
        <v>1172.01</v>
      </c>
      <c r="L545" s="89">
        <f t="shared" si="41"/>
        <v>595422.08000000007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392383.79000000004</v>
      </c>
      <c r="G549" s="87">
        <f>L526</f>
        <v>65711.569999999992</v>
      </c>
      <c r="H549" s="87">
        <f>L531</f>
        <v>0</v>
      </c>
      <c r="I549" s="87">
        <f>L536</f>
        <v>0</v>
      </c>
      <c r="J549" s="87">
        <f>L541</f>
        <v>34466.94</v>
      </c>
      <c r="K549" s="87">
        <f>SUM(F549:J549)</f>
        <v>492562.30000000005</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89020.900000000009</v>
      </c>
      <c r="G551" s="87">
        <f>L528</f>
        <v>13838.88</v>
      </c>
      <c r="H551" s="87">
        <f>L533</f>
        <v>0</v>
      </c>
      <c r="I551" s="87">
        <f>L538</f>
        <v>0</v>
      </c>
      <c r="J551" s="87">
        <f>L543</f>
        <v>0</v>
      </c>
      <c r="K551" s="87">
        <f>SUM(F551:J551)</f>
        <v>102859.78000000001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481404.69000000006</v>
      </c>
      <c r="G552" s="89">
        <f t="shared" si="42"/>
        <v>79550.45</v>
      </c>
      <c r="H552" s="89">
        <f t="shared" si="42"/>
        <v>0</v>
      </c>
      <c r="I552" s="89">
        <f t="shared" si="42"/>
        <v>0</v>
      </c>
      <c r="J552" s="89">
        <f t="shared" si="42"/>
        <v>34466.94</v>
      </c>
      <c r="K552" s="89">
        <f t="shared" si="42"/>
        <v>595422.08000000007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77331.53</v>
      </c>
      <c r="I575" s="87">
        <f>SUM(F575:H575)</f>
        <v>77331.53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655180</v>
      </c>
      <c r="I576" s="87">
        <f t="shared" ref="I576:I587" si="47">SUM(F576:H576)</f>
        <v>655180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36356.379999999997</v>
      </c>
      <c r="G579" s="18"/>
      <c r="H579" s="18"/>
      <c r="I579" s="87">
        <f t="shared" si="47"/>
        <v>36356.379999999997</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44415</v>
      </c>
      <c r="G580" s="18"/>
      <c r="H580" s="18">
        <v>62858.75</v>
      </c>
      <c r="I580" s="87">
        <f t="shared" si="47"/>
        <v>107273.75</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2528</v>
      </c>
      <c r="I585" s="87">
        <f t="shared" si="47"/>
        <v>2528</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39408.120000000003</v>
      </c>
      <c r="I591" s="18"/>
      <c r="J591" s="18">
        <v>48165.48</v>
      </c>
      <c r="K591" s="104">
        <f t="shared" ref="K591:K597" si="48">SUM(H591:J591)</f>
        <v>87573.6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34466.94</v>
      </c>
      <c r="I592" s="18"/>
      <c r="J592" s="18"/>
      <c r="K592" s="104">
        <f t="shared" si="48"/>
        <v>34466.94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1332</v>
      </c>
      <c r="I594" s="18"/>
      <c r="J594" s="18"/>
      <c r="K594" s="104">
        <f t="shared" si="48"/>
        <v>1332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3517.53</v>
      </c>
      <c r="I595" s="18"/>
      <c r="J595" s="18"/>
      <c r="K595" s="104">
        <f t="shared" si="48"/>
        <v>3517.53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78724.59</v>
      </c>
      <c r="I598" s="108">
        <f>SUM(I591:I597)</f>
        <v>0</v>
      </c>
      <c r="J598" s="108">
        <f>SUM(J591:J597)</f>
        <v>48165.48</v>
      </c>
      <c r="K598" s="108">
        <f>SUM(K591:K597)</f>
        <v>126890.07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9147.7099999999991</v>
      </c>
      <c r="I604" s="18"/>
      <c r="J604" s="18"/>
      <c r="K604" s="104">
        <f>SUM(H604:J604)</f>
        <v>9147.7099999999991</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9147.7099999999991</v>
      </c>
      <c r="I605" s="108">
        <f>SUM(I602:I604)</f>
        <v>0</v>
      </c>
      <c r="J605" s="108">
        <f>SUM(J602:J604)</f>
        <v>0</v>
      </c>
      <c r="K605" s="108">
        <f>SUM(K602:K604)</f>
        <v>9147.7099999999991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398551.60000000009</v>
      </c>
      <c r="H617" s="109">
        <f>SUM(F52)</f>
        <v>398551.6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12194.75</v>
      </c>
      <c r="H618" s="109">
        <f>SUM(G52)</f>
        <v>12194.75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5547.7</v>
      </c>
      <c r="H619" s="109">
        <f>SUM(H52)</f>
        <v>5547.7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490876.57000000007</v>
      </c>
      <c r="H621" s="109">
        <f>SUM(J52)</f>
        <v>490876.57000000007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222800.42</v>
      </c>
      <c r="H622" s="109">
        <f>F476</f>
        <v>222800.41999999993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11435.08</v>
      </c>
      <c r="H623" s="109">
        <f>G476</f>
        <v>11435.079999999987</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3293.24</v>
      </c>
      <c r="H624" s="109">
        <f>H476</f>
        <v>3293.2400000000052</v>
      </c>
      <c r="I624" s="121" t="s">
        <v>103</v>
      </c>
      <c r="J624" s="109">
        <f t="shared" si="50"/>
        <v>-5.4569682106375694E-12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490876.57000000007</v>
      </c>
      <c r="H626" s="109">
        <f>J476</f>
        <v>490876.57000000007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3287426.4699999997</v>
      </c>
      <c r="H627" s="104">
        <f>SUM(F468)</f>
        <v>3287426.47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65634.84</v>
      </c>
      <c r="H628" s="104">
        <f>SUM(G468)</f>
        <v>65634.84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75425.78</v>
      </c>
      <c r="H629" s="104">
        <f>SUM(H468)</f>
        <v>75425.78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76714.460000000006</v>
      </c>
      <c r="H631" s="104">
        <f>SUM(J468)</f>
        <v>76714.459999999992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3273272.45</v>
      </c>
      <c r="H632" s="104">
        <f>SUM(F472)</f>
        <v>3273272.45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74309.42</v>
      </c>
      <c r="H633" s="104">
        <f>SUM(H472)</f>
        <v>74309.42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24423.040000000001</v>
      </c>
      <c r="H634" s="104">
        <f>I369</f>
        <v>24423.040000000001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75008.459999999992</v>
      </c>
      <c r="H635" s="104">
        <f>SUM(G472)</f>
        <v>75008.460000000006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76714.459999999992</v>
      </c>
      <c r="H637" s="164">
        <f>SUM(J468)</f>
        <v>76714.459999999992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5292</v>
      </c>
      <c r="H638" s="164">
        <f>SUM(J472)</f>
        <v>5292</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194702.23</v>
      </c>
      <c r="H639" s="104">
        <f>SUM(F461)</f>
        <v>194702.23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296174.34000000003</v>
      </c>
      <c r="H640" s="104">
        <f>SUM(G461)</f>
        <v>296174.34000000003</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490876.57000000007</v>
      </c>
      <c r="H642" s="104">
        <f>SUM(I461)</f>
        <v>490876.57000000007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1214.4599999999998</v>
      </c>
      <c r="H644" s="104">
        <f>H408</f>
        <v>1214.46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75500</v>
      </c>
      <c r="H645" s="104">
        <f>G408</f>
        <v>75500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76714.460000000006</v>
      </c>
      <c r="H646" s="104">
        <f>L408</f>
        <v>76714.459999999992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126890.07</v>
      </c>
      <c r="H647" s="104">
        <f>L208+L226+L244</f>
        <v>126890.07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9147.7099999999991</v>
      </c>
      <c r="H648" s="104">
        <f>(J257+J338)-(J255+J336)</f>
        <v>9147.7100000000009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78724.59</v>
      </c>
      <c r="H649" s="104">
        <f>H598</f>
        <v>78724.59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48165.48</v>
      </c>
      <c r="H651" s="104">
        <f>J598</f>
        <v>48165.48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28010.02</v>
      </c>
      <c r="H652" s="104">
        <f>K263+K345</f>
        <v>28010.02</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75500</v>
      </c>
      <c r="H655" s="104">
        <f>K266+K347</f>
        <v>75500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2398822.9</v>
      </c>
      <c r="G660" s="19">
        <f>(L229+L309+L359)</f>
        <v>0</v>
      </c>
      <c r="H660" s="19">
        <f>(L247+L328+L360)</f>
        <v>889064.79</v>
      </c>
      <c r="I660" s="19">
        <f>SUM(F660:H660)</f>
        <v>3287887.69</v>
      </c>
      <c r="J660" s="13"/>
      <c r="K660" s="13"/>
      <c r="L660" s="13"/>
      <c r="M660" s="9"/>
    </row>
    <row r="661" spans="1:13" s="3" customFormat="1" ht="12.2" customHeight="1" x14ac:dyDescent="0.2">
      <c r="A661" s="1" t="s">
        <v>127</v>
      </c>
      <c r="F661" s="19">
        <f>(L358/IF(SUM(L358:L360)=0,1,SUM(L358:L360))*(SUM(G97:G110)))</f>
        <v>18175.349999999999</v>
      </c>
      <c r="G661" s="19">
        <f>(L359/IF(SUM(L358:L360)=0,1,SUM(L358:L360))*(SUM(G97:G110)))</f>
        <v>0</v>
      </c>
      <c r="H661" s="19">
        <f>(L360/IF(SUM(L358:L360)=0,1,SUM(L358:L360))*(SUM(G97:G110)))</f>
        <v>0</v>
      </c>
      <c r="I661" s="19">
        <f>SUM(F661:H661)</f>
        <v>18175.349999999999</v>
      </c>
      <c r="J661"/>
      <c r="K661" s="13"/>
      <c r="L661" s="13"/>
      <c r="M661" s="9"/>
    </row>
    <row r="662" spans="1:13" s="3" customFormat="1" ht="12.2" customHeight="1" x14ac:dyDescent="0.2">
      <c r="A662" s="1" t="s">
        <v>128</v>
      </c>
      <c r="F662" s="19">
        <f>(L208+L287)-(J208+J287)</f>
        <v>79796.59</v>
      </c>
      <c r="G662" s="19">
        <f>(L226+L306)-(J226+J306)</f>
        <v>0</v>
      </c>
      <c r="H662" s="19">
        <f>(L244+L325)-(J244+J325)</f>
        <v>48165.48</v>
      </c>
      <c r="I662" s="19">
        <f>SUM(F662:H662)</f>
        <v>127962.07</v>
      </c>
      <c r="J662"/>
      <c r="K662" s="13"/>
      <c r="L662" s="13"/>
      <c r="M662" s="8"/>
    </row>
    <row r="663" spans="1:13" s="3" customFormat="1" ht="12.2" customHeight="1" x14ac:dyDescent="0.15">
      <c r="A663" s="198" t="s">
        <v>129</v>
      </c>
      <c r="B663" s="169"/>
      <c r="C663" s="169"/>
      <c r="D663" s="169"/>
      <c r="E663" s="169"/>
      <c r="F663" s="199">
        <f>SUM(F575:F587)+SUM(H602:H604)+SUM(L611)</f>
        <v>89919.09</v>
      </c>
      <c r="G663" s="199">
        <f>SUM(G575:G587)+SUM(I602:I604)+L612</f>
        <v>0</v>
      </c>
      <c r="H663" s="199">
        <f>SUM(H575:H587)+SUM(J602:J604)+L613</f>
        <v>797898.28</v>
      </c>
      <c r="I663" s="19">
        <f>SUM(F663:H663)</f>
        <v>887817.37</v>
      </c>
      <c r="J663" s="13"/>
      <c r="K663" s="13"/>
      <c r="L663" s="13"/>
      <c r="M663" s="9"/>
    </row>
    <row r="664" spans="1:13" s="3" customFormat="1" ht="12.2" customHeight="1" x14ac:dyDescent="0.15">
      <c r="A664" s="1" t="s">
        <v>130</v>
      </c>
      <c r="F664" s="19">
        <f>F660-SUM(F661:F663)</f>
        <v>2210931.87</v>
      </c>
      <c r="G664" s="19">
        <f>G660-SUM(G661:G663)</f>
        <v>0</v>
      </c>
      <c r="H664" s="19">
        <f>H660-SUM(H661:H663)</f>
        <v>43001.030000000028</v>
      </c>
      <c r="I664" s="19">
        <f>I660-SUM(I661:I663)</f>
        <v>2253932.9</v>
      </c>
      <c r="J664" s="13"/>
      <c r="K664" s="13"/>
      <c r="L664" s="13"/>
      <c r="M664" s="9"/>
    </row>
    <row r="665" spans="1:13" s="3" customFormat="1" ht="12.2" customHeight="1" x14ac:dyDescent="0.2">
      <c r="A665" s="1" t="s">
        <v>131</v>
      </c>
      <c r="F665" s="246">
        <v>73.959999999999994</v>
      </c>
      <c r="G665" s="247"/>
      <c r="H665" s="247"/>
      <c r="I665" s="19">
        <f>SUM(F665:H665)</f>
        <v>73.959999999999994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29893.62</v>
      </c>
      <c r="G667" s="19" t="e">
        <f>ROUND(G664/G665,2)</f>
        <v>#DIV/0!</v>
      </c>
      <c r="H667" s="19" t="e">
        <f>ROUND(H664/H665,2)</f>
        <v>#DIV/0!</v>
      </c>
      <c r="I667" s="19">
        <f>ROUND(I664/I665,2)</f>
        <v>30475.03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-43001.03</v>
      </c>
      <c r="I669" s="19">
        <f>SUM(F669:H669)</f>
        <v>-43001.03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29893.62</v>
      </c>
      <c r="G672" s="19" t="e">
        <f>ROUND((G664+G669)/(G665+G670),2)</f>
        <v>#DIV/0!</v>
      </c>
      <c r="H672" s="19" t="e">
        <f>ROUND((H664+H669)/(H665+H670),2)</f>
        <v>#DIV/0!</v>
      </c>
      <c r="I672" s="19">
        <f>ROUND((I664+I669)/(I665+I670),2)</f>
        <v>29893.62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Monroe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594183.03</v>
      </c>
      <c r="C9" s="229">
        <f>'DOE25'!G197+'DOE25'!G215+'DOE25'!G233+'DOE25'!G276+'DOE25'!G295+'DOE25'!G314</f>
        <v>300966.23000000004</v>
      </c>
    </row>
    <row r="10" spans="1:3" x14ac:dyDescent="0.2">
      <c r="A10" t="s">
        <v>775</v>
      </c>
      <c r="B10" s="240">
        <f>546858.93+20816.78</f>
        <v>567675.71000000008</v>
      </c>
      <c r="C10" s="240">
        <v>296183.03999999998</v>
      </c>
    </row>
    <row r="11" spans="1:3" x14ac:dyDescent="0.2">
      <c r="A11" t="s">
        <v>776</v>
      </c>
      <c r="B11" s="240">
        <v>16707.48</v>
      </c>
      <c r="C11" s="240">
        <f>1278.12+2042.16+625+88.22</f>
        <v>4033.4999999999995</v>
      </c>
    </row>
    <row r="12" spans="1:3" x14ac:dyDescent="0.2">
      <c r="A12" t="s">
        <v>777</v>
      </c>
      <c r="B12" s="240">
        <v>9799.84</v>
      </c>
      <c r="C12" s="240">
        <v>749.69</v>
      </c>
    </row>
    <row r="13" spans="1:3" x14ac:dyDescent="0.2">
      <c r="A13" t="str">
        <f>IF(B9=B13,IF(C9=C13,"Check Total OK","Check Total Error"),"Check Total Error")</f>
        <v>Check Total OK</v>
      </c>
      <c r="B13" s="231">
        <f>SUM(B10:B12)</f>
        <v>594183.03</v>
      </c>
      <c r="C13" s="231">
        <f>SUM(C10:C12)</f>
        <v>300966.23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187134.39</v>
      </c>
      <c r="C18" s="229">
        <f>'DOE25'!G198+'DOE25'!G216+'DOE25'!G234+'DOE25'!G277+'DOE25'!G296+'DOE25'!G315</f>
        <v>128926.76</v>
      </c>
    </row>
    <row r="19" spans="1:3" x14ac:dyDescent="0.2">
      <c r="A19" t="s">
        <v>775</v>
      </c>
      <c r="B19" s="240">
        <f>58077.76+225.47</f>
        <v>58303.23</v>
      </c>
      <c r="C19" s="240">
        <f>19893.68+4180.67</f>
        <v>24074.35</v>
      </c>
    </row>
    <row r="20" spans="1:3" x14ac:dyDescent="0.2">
      <c r="A20" t="s">
        <v>776</v>
      </c>
      <c r="B20" s="240">
        <f>109495.38+1965.86+11206.01</f>
        <v>122667.25</v>
      </c>
      <c r="C20" s="240">
        <f>95584.93+8795.94</f>
        <v>104380.87</v>
      </c>
    </row>
    <row r="21" spans="1:3" x14ac:dyDescent="0.2">
      <c r="A21" t="s">
        <v>777</v>
      </c>
      <c r="B21" s="240">
        <f>4825.67+1338.24</f>
        <v>6163.91</v>
      </c>
      <c r="C21" s="240">
        <v>471.54</v>
      </c>
    </row>
    <row r="22" spans="1:3" x14ac:dyDescent="0.2">
      <c r="A22" t="str">
        <f>IF(B18=B22,IF(C18=C22,"Check Total OK","Check Total Error"),"Check Total Error")</f>
        <v>Check Total OK</v>
      </c>
      <c r="B22" s="231">
        <f>SUM(B19:B21)</f>
        <v>187134.39</v>
      </c>
      <c r="C22" s="231">
        <f>SUM(C19:C21)</f>
        <v>128926.76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9275</v>
      </c>
      <c r="C36" s="235">
        <f>'DOE25'!G200+'DOE25'!G218+'DOE25'!G236+'DOE25'!G279+'DOE25'!G298+'DOE25'!G317</f>
        <v>1179.77</v>
      </c>
    </row>
    <row r="37" spans="1:3" x14ac:dyDescent="0.2">
      <c r="A37" t="s">
        <v>775</v>
      </c>
      <c r="B37" s="240">
        <v>2250</v>
      </c>
      <c r="C37" s="240">
        <v>562.62</v>
      </c>
    </row>
    <row r="38" spans="1:3" x14ac:dyDescent="0.2">
      <c r="A38" t="s">
        <v>776</v>
      </c>
      <c r="B38" s="240"/>
      <c r="C38" s="240"/>
    </row>
    <row r="39" spans="1:3" x14ac:dyDescent="0.2">
      <c r="A39" t="s">
        <v>777</v>
      </c>
      <c r="B39" s="240">
        <v>7025</v>
      </c>
      <c r="C39" s="240">
        <v>617.15</v>
      </c>
    </row>
    <row r="40" spans="1:3" x14ac:dyDescent="0.2">
      <c r="A40" t="str">
        <f>IF(B36=B40,IF(C36=C40,"Check Total OK","Check Total Error"),"Check Total Error")</f>
        <v>Check Total OK</v>
      </c>
      <c r="B40" s="231">
        <f>SUM(B37:B39)</f>
        <v>9275</v>
      </c>
      <c r="C40" s="231">
        <f>SUM(C37:C39)</f>
        <v>1179.77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5.664062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Monroe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2125148.25</v>
      </c>
      <c r="D5" s="20">
        <f>SUM('DOE25'!L197:L200)+SUM('DOE25'!L215:L218)+SUM('DOE25'!L233:L236)-F5-G5-H5</f>
        <v>2120699.3200000003</v>
      </c>
      <c r="E5" s="243"/>
      <c r="F5" s="244"/>
      <c r="G5" s="53">
        <f>SUM('DOE25'!J197:J200)+SUM('DOE25'!J215:J218)+SUM('DOE25'!J233:J236)</f>
        <v>1682.92</v>
      </c>
      <c r="H5" s="53">
        <f>SUM('DOE25'!K197:K200)+SUM('DOE25'!K215:K218)+SUM('DOE25'!K233:K236)</f>
        <v>2766.01</v>
      </c>
      <c r="I5" s="256"/>
    </row>
    <row r="6" spans="1:9" x14ac:dyDescent="0.2">
      <c r="A6" s="32">
        <v>2100</v>
      </c>
      <c r="B6" t="s">
        <v>796</v>
      </c>
      <c r="C6" s="276">
        <f t="shared" si="0"/>
        <v>199511.33000000002</v>
      </c>
      <c r="D6" s="20">
        <f>'DOE25'!L202+'DOE25'!L220+'DOE25'!L238-F6-G6-H6</f>
        <v>183000.93000000002</v>
      </c>
      <c r="E6" s="243"/>
      <c r="F6" s="244">
        <v>14376</v>
      </c>
      <c r="G6" s="53">
        <f>'DOE25'!J202+'DOE25'!J220+'DOE25'!J238</f>
        <v>49.99</v>
      </c>
      <c r="H6" s="53">
        <f>'DOE25'!K202+'DOE25'!K220+'DOE25'!K238</f>
        <v>2084.41</v>
      </c>
      <c r="I6" s="256"/>
    </row>
    <row r="7" spans="1:9" x14ac:dyDescent="0.2">
      <c r="A7" s="32">
        <v>2200</v>
      </c>
      <c r="B7" t="s">
        <v>821</v>
      </c>
      <c r="C7" s="276">
        <f t="shared" si="0"/>
        <v>91921.76999999999</v>
      </c>
      <c r="D7" s="20">
        <f>'DOE25'!L203+'DOE25'!L221+'DOE25'!L239-F7-G7-H7</f>
        <v>91452.819999999992</v>
      </c>
      <c r="E7" s="243"/>
      <c r="F7" s="244"/>
      <c r="G7" s="53">
        <f>'DOE25'!J203+'DOE25'!J221+'DOE25'!J239</f>
        <v>318.95</v>
      </c>
      <c r="H7" s="53">
        <f>'DOE25'!K203+'DOE25'!K221+'DOE25'!K239</f>
        <v>150</v>
      </c>
      <c r="I7" s="256"/>
    </row>
    <row r="8" spans="1:9" x14ac:dyDescent="0.2">
      <c r="A8" s="32">
        <v>2300</v>
      </c>
      <c r="B8" t="s">
        <v>797</v>
      </c>
      <c r="C8" s="276">
        <f t="shared" si="0"/>
        <v>3795.27</v>
      </c>
      <c r="D8" s="243"/>
      <c r="E8" s="20">
        <f>'DOE25'!L204+'DOE25'!L222+'DOE25'!L240-F8-G8-H8-D9-D11</f>
        <v>0</v>
      </c>
      <c r="F8" s="244"/>
      <c r="G8" s="53">
        <f>'DOE25'!J204+'DOE25'!J222+'DOE25'!J240</f>
        <v>0</v>
      </c>
      <c r="H8" s="53">
        <f>'DOE25'!K204+'DOE25'!K222+'DOE25'!K240</f>
        <v>3795.27</v>
      </c>
      <c r="I8" s="256"/>
    </row>
    <row r="9" spans="1:9" ht="14.25" x14ac:dyDescent="0.2">
      <c r="A9" s="32">
        <v>2310</v>
      </c>
      <c r="B9" s="185" t="s">
        <v>890</v>
      </c>
      <c r="C9" s="276">
        <f t="shared" si="0"/>
        <v>86617.09</v>
      </c>
      <c r="D9" s="244">
        <v>86617.09</v>
      </c>
      <c r="E9" s="243"/>
      <c r="F9" s="253"/>
      <c r="G9" s="253"/>
      <c r="H9" s="253"/>
      <c r="I9" s="256"/>
    </row>
    <row r="10" spans="1:9" ht="14.25" x14ac:dyDescent="0.2">
      <c r="A10" s="32">
        <v>2317</v>
      </c>
      <c r="B10" s="185" t="s">
        <v>891</v>
      </c>
      <c r="C10" s="276">
        <f t="shared" si="0"/>
        <v>11300</v>
      </c>
      <c r="D10" s="243"/>
      <c r="E10" s="244">
        <v>11300</v>
      </c>
      <c r="F10" s="253"/>
      <c r="G10" s="253"/>
      <c r="H10" s="253"/>
      <c r="I10" s="256"/>
    </row>
    <row r="11" spans="1:9" ht="14.25" x14ac:dyDescent="0.2">
      <c r="A11" s="32">
        <v>2321</v>
      </c>
      <c r="B11" s="185" t="s">
        <v>892</v>
      </c>
      <c r="C11" s="276">
        <f t="shared" si="0"/>
        <v>97582.07</v>
      </c>
      <c r="D11" s="244">
        <v>97582.07</v>
      </c>
      <c r="E11" s="243"/>
      <c r="F11" s="253"/>
      <c r="G11" s="253"/>
      <c r="H11" s="253"/>
      <c r="I11" s="256"/>
    </row>
    <row r="12" spans="1:9" x14ac:dyDescent="0.2">
      <c r="A12" s="32">
        <v>2400</v>
      </c>
      <c r="B12" t="s">
        <v>711</v>
      </c>
      <c r="C12" s="276">
        <f t="shared" si="0"/>
        <v>205464.48</v>
      </c>
      <c r="D12" s="20">
        <f>'DOE25'!L205+'DOE25'!L223+'DOE25'!L241-F12-G12-H12</f>
        <v>202657.22</v>
      </c>
      <c r="E12" s="243"/>
      <c r="F12" s="244"/>
      <c r="G12" s="53">
        <f>'DOE25'!J205+'DOE25'!J223+'DOE25'!J241</f>
        <v>0</v>
      </c>
      <c r="H12" s="53">
        <f>'DOE25'!K205+'DOE25'!K223+'DOE25'!K241</f>
        <v>2807.26</v>
      </c>
      <c r="I12" s="256"/>
    </row>
    <row r="13" spans="1:9" x14ac:dyDescent="0.2">
      <c r="A13" s="32">
        <v>2500</v>
      </c>
      <c r="B13" t="s">
        <v>798</v>
      </c>
      <c r="C13" s="276">
        <f t="shared" si="0"/>
        <v>77805.829999999987</v>
      </c>
      <c r="D13" s="243"/>
      <c r="E13" s="20">
        <f>'DOE25'!L206+'DOE25'!L224+'DOE25'!L242-F13-G13-H13</f>
        <v>77605.829999999987</v>
      </c>
      <c r="F13" s="244"/>
      <c r="G13" s="53">
        <f>'DOE25'!J206+'DOE25'!J224+'DOE25'!J242</f>
        <v>0</v>
      </c>
      <c r="H13" s="53">
        <f>'DOE25'!K206+'DOE25'!K224+'DOE25'!K242</f>
        <v>200</v>
      </c>
      <c r="I13" s="256"/>
    </row>
    <row r="14" spans="1:9" x14ac:dyDescent="0.2">
      <c r="A14" s="32">
        <v>2600</v>
      </c>
      <c r="B14" t="s">
        <v>819</v>
      </c>
      <c r="C14" s="276">
        <f t="shared" si="0"/>
        <v>123833.65000000001</v>
      </c>
      <c r="D14" s="20">
        <f>'DOE25'!L207+'DOE25'!L225+'DOE25'!L243-F14-G14-H14</f>
        <v>121454.57</v>
      </c>
      <c r="E14" s="243"/>
      <c r="F14" s="244"/>
      <c r="G14" s="53">
        <f>'DOE25'!J207+'DOE25'!J225+'DOE25'!J243</f>
        <v>1409.08</v>
      </c>
      <c r="H14" s="53">
        <f>'DOE25'!K207+'DOE25'!K225+'DOE25'!K243</f>
        <v>970</v>
      </c>
      <c r="I14" s="256"/>
    </row>
    <row r="15" spans="1:9" x14ac:dyDescent="0.2">
      <c r="A15" s="32">
        <v>2700</v>
      </c>
      <c r="B15" t="s">
        <v>799</v>
      </c>
      <c r="C15" s="276">
        <f t="shared" si="0"/>
        <v>126890.07</v>
      </c>
      <c r="D15" s="20">
        <f>'DOE25'!L208+'DOE25'!L226+'DOE25'!L244-F15-G15-H15</f>
        <v>64316.470000000008</v>
      </c>
      <c r="E15" s="243"/>
      <c r="F15" s="244">
        <v>62573.599999999999</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31192.62</v>
      </c>
      <c r="D22" s="243"/>
      <c r="E22" s="243"/>
      <c r="F22" s="243"/>
      <c r="G22" s="53">
        <f>'DOE25'!L255+'DOE25'!L336</f>
        <v>31192.62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54688.529999999992</v>
      </c>
      <c r="D29" s="284">
        <f>'DOE25'!L358+'DOE25'!L359+'DOE25'!L360-'DOE25'!I367-F29-G29-H29</f>
        <v>54434.579999999994</v>
      </c>
      <c r="E29" s="243"/>
      <c r="F29" s="244"/>
      <c r="G29" s="53">
        <f>'DOE25'!J358+'DOE25'!J359+'DOE25'!J360</f>
        <v>253.95</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74309.42</v>
      </c>
      <c r="D31" s="20">
        <f>'DOE25'!L290+'DOE25'!L309+'DOE25'!L328+'DOE25'!L333+'DOE25'!L334+'DOE25'!L335-F31-G31-H31</f>
        <v>68622.649999999994</v>
      </c>
      <c r="E31" s="243"/>
      <c r="F31" s="244"/>
      <c r="G31" s="53">
        <f>'DOE25'!J290+'DOE25'!J309+'DOE25'!J328+'DOE25'!J333+'DOE25'!J334+'DOE25'!J335</f>
        <v>5686.77</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3090837.72</v>
      </c>
      <c r="E33" s="245">
        <f t="shared" si="1"/>
        <v>88905.829999999987</v>
      </c>
      <c r="F33" s="245">
        <f t="shared" si="1"/>
        <v>76949.600000000006</v>
      </c>
      <c r="G33" s="245">
        <f t="shared" si="1"/>
        <v>40594.28</v>
      </c>
      <c r="H33" s="245">
        <f t="shared" si="1"/>
        <v>12772.95</v>
      </c>
      <c r="I33" s="245">
        <f t="shared" si="1"/>
        <v>0</v>
      </c>
    </row>
    <row r="35" spans="1:9" ht="12" thickBot="1" x14ac:dyDescent="0.25">
      <c r="B35" s="251" t="s">
        <v>831</v>
      </c>
      <c r="D35" s="252">
        <f>E33</f>
        <v>88905.829999999987</v>
      </c>
      <c r="E35" s="248"/>
    </row>
    <row r="36" spans="1:9" ht="12" thickTop="1" x14ac:dyDescent="0.2">
      <c r="B36" t="s">
        <v>810</v>
      </c>
      <c r="D36" s="20">
        <f>D33</f>
        <v>3090837.72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algorithmName="SHA-512" hashValue="XEtUEQG5Q7UUvrgrjZ+kwyFp81s6Eu3pLl0qVPZfHk1IRjDQ4mC+lBG0lbxUQV+umRxMGFWRUvSkB6FkzJnhBA==" saltValue="jQ9UeRJyh8Pn2qNLYtlJJw==" spinCount="100000" sheet="1" objects="1" scenarios="1"/>
  <mergeCells count="3">
    <mergeCell ref="F2:H2"/>
    <mergeCell ref="A1:H1"/>
    <mergeCell ref="B53:H53"/>
  </mergeCells>
  <phoneticPr fontId="0" type="noConversion"/>
  <pageMargins left="0.5" right="0.5" top="0.5" bottom="0.5"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5" sqref="D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Monroe School District</v>
      </c>
      <c r="B2" s="126">
        <f>'DOE25'!B2</f>
        <v>365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2323814.44</v>
      </c>
      <c r="G4" s="303">
        <f>'DOE25'!L211+'DOE25'!L290</f>
        <v>2323814.44</v>
      </c>
      <c r="H4" s="304">
        <f>F4-G4</f>
        <v>0</v>
      </c>
      <c r="I4" s="310" t="str">
        <f>IF(H4=0,"","Does not match DOE25 page 7 and 11 Totals!!")</f>
        <v/>
      </c>
      <c r="N4"/>
    </row>
    <row r="5" spans="1:18" x14ac:dyDescent="0.2">
      <c r="A5" s="21" t="s">
        <v>1301</v>
      </c>
      <c r="B5" s="305">
        <f>IFERROR(VLOOKUP(A5,'School Tables'!$C$3:$D$368,2,FALSE),"")</f>
        <v>20885</v>
      </c>
      <c r="C5" s="297" t="str">
        <f>IFERROR(INDEX('School Tables'!$B$3:$B$368,MATCH('School Level Expenditures'!B5,'School Tables'!$D$3:$D$368,0)),"")</f>
        <v>Monroe</v>
      </c>
      <c r="D5" s="294">
        <v>2249505.02</v>
      </c>
      <c r="E5" s="294">
        <v>74309.42</v>
      </c>
      <c r="F5" s="313">
        <f>D5+E5</f>
        <v>2323814.44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889064.79</v>
      </c>
      <c r="G36" s="303">
        <f>'DOE25'!L247+'DOE25'!L328</f>
        <v>889064.79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889064.79</v>
      </c>
      <c r="E37" s="294"/>
      <c r="F37" s="308">
        <f>D37+E37</f>
        <v>889064.79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0"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Monroe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397061.30000000005</v>
      </c>
      <c r="D8" s="95">
        <f>'DOE25'!G9</f>
        <v>0</v>
      </c>
      <c r="E8" s="95">
        <f>'DOE25'!H9</f>
        <v>0</v>
      </c>
      <c r="F8" s="95">
        <f>'DOE25'!I9</f>
        <v>0</v>
      </c>
      <c r="G8" s="95">
        <f>'DOE25'!J9</f>
        <v>490876.56000000006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-4868.72</v>
      </c>
      <c r="D11" s="95">
        <f>'DOE25'!G12</f>
        <v>10946.4</v>
      </c>
      <c r="E11" s="95">
        <f>'DOE25'!H12</f>
        <v>-6077.69</v>
      </c>
      <c r="F11" s="95">
        <f>'DOE25'!I12</f>
        <v>0</v>
      </c>
      <c r="G11" s="95">
        <f>'DOE25'!J12</f>
        <v>0.01</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1185.2</v>
      </c>
      <c r="E13" s="95">
        <f>'DOE25'!H14</f>
        <v>11625.39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6359.02</v>
      </c>
      <c r="D16" s="95">
        <f>'DOE25'!G17</f>
        <v>63.15</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398551.60000000009</v>
      </c>
      <c r="D18" s="41">
        <f>SUM(D8:D17)</f>
        <v>12194.75</v>
      </c>
      <c r="E18" s="41">
        <f>SUM(E8:E17)</f>
        <v>5547.7</v>
      </c>
      <c r="F18" s="41">
        <f>SUM(F8:F17)</f>
        <v>0</v>
      </c>
      <c r="G18" s="41">
        <f>SUM(G8:G17)</f>
        <v>490876.57000000007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176110.15999999997</v>
      </c>
      <c r="D23" s="95">
        <f>'DOE25'!G24</f>
        <v>759.67</v>
      </c>
      <c r="E23" s="95">
        <f>'DOE25'!H24</f>
        <v>2254.46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-358.98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175751.17999999996</v>
      </c>
      <c r="D31" s="41">
        <f>SUM(D21:D30)</f>
        <v>759.67</v>
      </c>
      <c r="E31" s="41">
        <f>SUM(E21:E30)</f>
        <v>2254.46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11435.08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70450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3293.24</v>
      </c>
      <c r="F47" s="95">
        <f>'DOE25'!I48</f>
        <v>0</v>
      </c>
      <c r="G47" s="95">
        <f>'DOE25'!J48</f>
        <v>490876.57000000007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152350.42000000001</v>
      </c>
      <c r="D49" s="24" t="s">
        <v>288</v>
      </c>
      <c r="E49" s="24" t="s">
        <v>288</v>
      </c>
      <c r="F49" s="24" t="s">
        <v>288</v>
      </c>
      <c r="G49" s="24" t="s">
        <v>288</v>
      </c>
      <c r="H49" s="124"/>
      <c r="I49" s="124"/>
    </row>
    <row r="50" spans="1:9" ht="12.75" thickTop="1" thickBot="1" x14ac:dyDescent="0.25">
      <c r="A50" s="38" t="s">
        <v>884</v>
      </c>
      <c r="B50" s="48"/>
      <c r="C50" s="41">
        <f>SUM(C34:C49)</f>
        <v>222800.42</v>
      </c>
      <c r="D50" s="41">
        <f>SUM(D34:D49)</f>
        <v>11435.08</v>
      </c>
      <c r="E50" s="41">
        <f>SUM(E34:E49)</f>
        <v>3293.24</v>
      </c>
      <c r="F50" s="41">
        <f>SUM(F34:F49)</f>
        <v>0</v>
      </c>
      <c r="G50" s="41">
        <f>SUM(G34:G49)</f>
        <v>490876.57000000007</v>
      </c>
      <c r="H50" s="124"/>
      <c r="I50" s="124"/>
    </row>
    <row r="51" spans="1:9" ht="12" thickTop="1" x14ac:dyDescent="0.2">
      <c r="A51" s="38" t="s">
        <v>885</v>
      </c>
      <c r="B51" s="2"/>
      <c r="C51" s="41">
        <f>C50+C31</f>
        <v>398551.6</v>
      </c>
      <c r="D51" s="41">
        <f>D50+D31</f>
        <v>12194.75</v>
      </c>
      <c r="E51" s="41">
        <f>E50+E31</f>
        <v>5547.7</v>
      </c>
      <c r="F51" s="41">
        <f>F50+F31</f>
        <v>0</v>
      </c>
      <c r="G51" s="41">
        <f>G50+G31</f>
        <v>490876.57000000007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2648443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10663.23</v>
      </c>
      <c r="D59" s="95">
        <f>'DOE25'!G96</f>
        <v>0</v>
      </c>
      <c r="E59" s="95">
        <f>'DOE25'!H96</f>
        <v>0</v>
      </c>
      <c r="F59" s="95">
        <f>'DOE25'!I96</f>
        <v>0</v>
      </c>
      <c r="G59" s="95">
        <f>'DOE25'!J96</f>
        <v>1214.4599999999998</v>
      </c>
      <c r="H59"/>
      <c r="I59"/>
    </row>
    <row r="60" spans="1:9" x14ac:dyDescent="0.2">
      <c r="A60" s="1" t="s">
        <v>170</v>
      </c>
      <c r="B60" s="118" t="s">
        <v>171</v>
      </c>
      <c r="C60" s="24" t="s">
        <v>288</v>
      </c>
      <c r="D60" s="95">
        <f>'DOE25'!G97</f>
        <v>18175.349999999999</v>
      </c>
      <c r="E60" s="24" t="s">
        <v>288</v>
      </c>
      <c r="F60" s="24" t="s">
        <v>288</v>
      </c>
      <c r="G60" s="24" t="s">
        <v>288</v>
      </c>
      <c r="H60"/>
      <c r="I60"/>
    </row>
    <row r="61" spans="1:9" ht="12" thickBot="1" x14ac:dyDescent="0.25">
      <c r="A61" s="1" t="s">
        <v>172</v>
      </c>
      <c r="B61" s="118" t="s">
        <v>173</v>
      </c>
      <c r="C61" s="95">
        <f>SUM('DOE25'!F98:F110)</f>
        <v>35791.86</v>
      </c>
      <c r="D61" s="95">
        <f>SUM('DOE25'!G98:G110)</f>
        <v>0</v>
      </c>
      <c r="E61" s="95">
        <f>SUM('DOE25'!H98:H110)</f>
        <v>500</v>
      </c>
      <c r="F61" s="95">
        <f>SUM('DOE25'!I98:I110)</f>
        <v>0</v>
      </c>
      <c r="G61" s="95">
        <f>SUM('DOE25'!J98:J110)</f>
        <v>0</v>
      </c>
      <c r="H61"/>
      <c r="I61"/>
    </row>
    <row r="62" spans="1:9" ht="12.75" thickTop="1" thickBot="1" x14ac:dyDescent="0.25">
      <c r="A62" s="29" t="s">
        <v>174</v>
      </c>
      <c r="B62" s="6"/>
      <c r="C62" s="130">
        <f>SUM(C57:C61)</f>
        <v>46455.09</v>
      </c>
      <c r="D62" s="130">
        <f>SUM(D57:D61)</f>
        <v>18175.349999999999</v>
      </c>
      <c r="E62" s="130">
        <f>SUM(E57:E61)</f>
        <v>500</v>
      </c>
      <c r="F62" s="130">
        <f>SUM(F57:F61)</f>
        <v>0</v>
      </c>
      <c r="G62" s="130">
        <f>SUM(G57:G61)</f>
        <v>1214.4599999999998</v>
      </c>
      <c r="H62"/>
      <c r="I62"/>
    </row>
    <row r="63" spans="1:9" ht="12" thickTop="1" x14ac:dyDescent="0.2">
      <c r="A63" s="29" t="s">
        <v>175</v>
      </c>
      <c r="B63" s="6"/>
      <c r="C63" s="22">
        <f>C56+C62</f>
        <v>2694898.09</v>
      </c>
      <c r="D63" s="22">
        <f>D56+D62</f>
        <v>18175.349999999999</v>
      </c>
      <c r="E63" s="22">
        <f>E56+E62</f>
        <v>500</v>
      </c>
      <c r="F63" s="22">
        <f>F56+F62</f>
        <v>0</v>
      </c>
      <c r="G63" s="22">
        <f>G56+G62</f>
        <v>1214.4599999999998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395009.18</v>
      </c>
      <c r="D66" s="24" t="s">
        <v>288</v>
      </c>
      <c r="E66" s="24" t="s">
        <v>288</v>
      </c>
      <c r="F66" s="24" t="s">
        <v>288</v>
      </c>
      <c r="G66" s="24" t="s">
        <v>288</v>
      </c>
      <c r="H66"/>
      <c r="I66"/>
    </row>
    <row r="67" spans="1:9" x14ac:dyDescent="0.2">
      <c r="A67" s="1" t="s">
        <v>770</v>
      </c>
      <c r="B67" s="6">
        <v>3112</v>
      </c>
      <c r="C67" s="95">
        <f>'DOE25'!F118</f>
        <v>169588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564597.17999999993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7027.79</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17080</v>
      </c>
      <c r="D77" s="95">
        <f>SUM('DOE25'!G131:G135)</f>
        <v>732.06</v>
      </c>
      <c r="E77" s="95">
        <f>SUM('DOE25'!H131:H135)</f>
        <v>0</v>
      </c>
      <c r="F77" s="95">
        <f>SUM('DOE25'!I131:I135)</f>
        <v>0</v>
      </c>
      <c r="G77" s="95">
        <f>SUM('DOE25'!J131:J135)</f>
        <v>0</v>
      </c>
      <c r="H77"/>
      <c r="I77"/>
    </row>
    <row r="78" spans="1:9" ht="12.75" thickTop="1" thickBot="1" x14ac:dyDescent="0.25">
      <c r="A78" s="29" t="s">
        <v>259</v>
      </c>
      <c r="B78" s="6"/>
      <c r="C78" s="130">
        <f>SUM(C72:C77)</f>
        <v>24107.79</v>
      </c>
      <c r="D78" s="130">
        <f>SUM(D72:D77)</f>
        <v>732.06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588704.97</v>
      </c>
      <c r="D81" s="130">
        <f>SUM(D79:D80)+D78+D70</f>
        <v>732.06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18566.23</v>
      </c>
      <c r="F87" s="95">
        <f>SUM('DOE25'!I149:I152)</f>
        <v>0</v>
      </c>
      <c r="G87" s="24" t="s">
        <v>288</v>
      </c>
    </row>
    <row r="88" spans="1:9" x14ac:dyDescent="0.2">
      <c r="A88" t="s">
        <v>747</v>
      </c>
      <c r="B88" s="32" t="s">
        <v>184</v>
      </c>
      <c r="C88" s="95">
        <f>SUM('DOE25'!F153:F161)</f>
        <v>3650.44</v>
      </c>
      <c r="D88" s="95">
        <f>SUM('DOE25'!G153:G161)</f>
        <v>18717.41</v>
      </c>
      <c r="E88" s="95">
        <f>SUM('DOE25'!H153:H161)</f>
        <v>56359.55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172.97</v>
      </c>
      <c r="D90" s="24" t="s">
        <v>288</v>
      </c>
      <c r="E90" s="24" t="s">
        <v>288</v>
      </c>
      <c r="F90" s="24" t="s">
        <v>288</v>
      </c>
      <c r="G90" s="24" t="s">
        <v>288</v>
      </c>
    </row>
    <row r="91" spans="1:9" ht="12.75" thickTop="1" thickBot="1" x14ac:dyDescent="0.25">
      <c r="A91" s="33" t="s">
        <v>750</v>
      </c>
      <c r="C91" s="131">
        <f>SUM(C85:C90)</f>
        <v>3823.41</v>
      </c>
      <c r="D91" s="131">
        <f>SUM(D85:D90)</f>
        <v>18717.41</v>
      </c>
      <c r="E91" s="131">
        <f>SUM(E85:E90)</f>
        <v>74925.78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28010.02</v>
      </c>
      <c r="E96" s="95">
        <f>'DOE25'!H179</f>
        <v>0</v>
      </c>
      <c r="F96" s="95">
        <f>'DOE25'!I179</f>
        <v>0</v>
      </c>
      <c r="G96" s="95">
        <f>'DOE25'!J179</f>
        <v>75500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28010.02</v>
      </c>
      <c r="E103" s="86">
        <f>SUM(E93:E102)</f>
        <v>0</v>
      </c>
      <c r="F103" s="86">
        <f>SUM(F93:F102)</f>
        <v>0</v>
      </c>
      <c r="G103" s="86">
        <f>SUM(G93:G102)</f>
        <v>75500</v>
      </c>
    </row>
    <row r="104" spans="1:7" ht="12.75" thickTop="1" thickBot="1" x14ac:dyDescent="0.25">
      <c r="A104" s="33" t="s">
        <v>761</v>
      </c>
      <c r="C104" s="86">
        <f>C63+C81+C91+C103</f>
        <v>3287426.4699999997</v>
      </c>
      <c r="D104" s="86">
        <f>D63+D81+D91+D103</f>
        <v>65634.84</v>
      </c>
      <c r="E104" s="86">
        <f>E63+E81+E91+E103</f>
        <v>75425.78</v>
      </c>
      <c r="F104" s="86">
        <f>F63+F81+F91+F103</f>
        <v>0</v>
      </c>
      <c r="G104" s="86">
        <f>G63+G81+G103</f>
        <v>76714.460000000006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1630288.24</v>
      </c>
      <c r="D109" s="24" t="s">
        <v>288</v>
      </c>
      <c r="E109" s="95">
        <f>('DOE25'!L276)+('DOE25'!L295)+('DOE25'!L314)</f>
        <v>31909.059999999998</v>
      </c>
      <c r="F109" s="24" t="s">
        <v>288</v>
      </c>
      <c r="G109" s="24" t="s">
        <v>288</v>
      </c>
    </row>
    <row r="110" spans="1:7" x14ac:dyDescent="0.2">
      <c r="A110" t="s">
        <v>198</v>
      </c>
      <c r="B110" s="32" t="s">
        <v>199</v>
      </c>
      <c r="C110" s="95">
        <f>('DOE25'!L198)+('DOE25'!L216)+('DOE25'!L234)</f>
        <v>481404.69000000006</v>
      </c>
      <c r="D110" s="24" t="s">
        <v>288</v>
      </c>
      <c r="E110" s="95">
        <f>('DOE25'!L277)+('DOE25'!L296)+('DOE25'!L315)</f>
        <v>20078.16</v>
      </c>
      <c r="F110" s="24" t="s">
        <v>288</v>
      </c>
      <c r="G110" s="24" t="s">
        <v>288</v>
      </c>
    </row>
    <row r="111" spans="1:7" x14ac:dyDescent="0.2">
      <c r="A111" t="s">
        <v>200</v>
      </c>
      <c r="B111" s="32" t="s">
        <v>165</v>
      </c>
      <c r="C111" s="95">
        <f>('DOE25'!L199)+('DOE25'!L217)+('DOE25'!L235)</f>
        <v>2528</v>
      </c>
      <c r="D111" s="24" t="s">
        <v>288</v>
      </c>
      <c r="E111" s="95">
        <f>('DOE25'!L278)+('DOE25'!L297)+('DOE25'!L316)</f>
        <v>0</v>
      </c>
      <c r="F111" s="24" t="s">
        <v>288</v>
      </c>
      <c r="G111" s="24" t="s">
        <v>288</v>
      </c>
    </row>
    <row r="112" spans="1:7" x14ac:dyDescent="0.2">
      <c r="A112" t="s">
        <v>201</v>
      </c>
      <c r="B112" s="32" t="s">
        <v>167</v>
      </c>
      <c r="C112" s="95">
        <f>('DOE25'!L200)+('DOE25'!L218)+('DOE25'!L236)</f>
        <v>10927.32</v>
      </c>
      <c r="D112" s="24" t="s">
        <v>288</v>
      </c>
      <c r="E112" s="95">
        <f>+('DOE25'!L279)+('DOE25'!L298)+('DOE25'!L317)</f>
        <v>12498.57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2125148.25</v>
      </c>
      <c r="D115" s="86">
        <f>SUM(D109:D114)</f>
        <v>0</v>
      </c>
      <c r="E115" s="86">
        <f>SUM(E109:E114)</f>
        <v>64485.79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199511.33000000002</v>
      </c>
      <c r="D118" s="24" t="s">
        <v>288</v>
      </c>
      <c r="E118" s="95">
        <f>+('DOE25'!L281)+('DOE25'!L300)+('DOE25'!L319)</f>
        <v>813.43000000000006</v>
      </c>
      <c r="F118" s="24" t="s">
        <v>288</v>
      </c>
      <c r="G118" s="24" t="s">
        <v>288</v>
      </c>
    </row>
    <row r="119" spans="1:7" x14ac:dyDescent="0.2">
      <c r="A119" t="s">
        <v>208</v>
      </c>
      <c r="B119" s="32" t="s">
        <v>209</v>
      </c>
      <c r="C119" s="95">
        <f>('DOE25'!L203)+('DOE25'!L221)+('DOE25'!L239)</f>
        <v>91921.76999999999</v>
      </c>
      <c r="D119" s="24" t="s">
        <v>288</v>
      </c>
      <c r="E119" s="95">
        <f>+('DOE25'!L282)+('DOE25'!L301)+('DOE25'!L320)</f>
        <v>7938.2</v>
      </c>
      <c r="F119" s="24" t="s">
        <v>288</v>
      </c>
      <c r="G119" s="24" t="s">
        <v>288</v>
      </c>
    </row>
    <row r="120" spans="1:7" x14ac:dyDescent="0.2">
      <c r="A120" t="s">
        <v>210</v>
      </c>
      <c r="B120" s="32" t="s">
        <v>211</v>
      </c>
      <c r="C120" s="95">
        <f>('DOE25'!L204)+('DOE25'!L222)+('DOE25'!L240)</f>
        <v>187994.43000000002</v>
      </c>
      <c r="D120" s="24" t="s">
        <v>288</v>
      </c>
      <c r="E120" s="95">
        <f>+('DOE25'!L283)+('DOE25'!L302)+('DOE25'!L321)</f>
        <v>0</v>
      </c>
      <c r="F120" s="24" t="s">
        <v>288</v>
      </c>
      <c r="G120" s="24" t="s">
        <v>288</v>
      </c>
    </row>
    <row r="121" spans="1:7" x14ac:dyDescent="0.2">
      <c r="A121" t="s">
        <v>212</v>
      </c>
      <c r="B121" s="32" t="s">
        <v>213</v>
      </c>
      <c r="C121" s="95">
        <f>('DOE25'!L205)+('DOE25'!L223)+('DOE25'!L241)</f>
        <v>205464.48</v>
      </c>
      <c r="D121" s="24" t="s">
        <v>288</v>
      </c>
      <c r="E121" s="95">
        <f>+('DOE25'!L284)+('DOE25'!L303)+('DOE25'!L322)</f>
        <v>0</v>
      </c>
      <c r="F121" s="24" t="s">
        <v>288</v>
      </c>
      <c r="G121" s="24" t="s">
        <v>288</v>
      </c>
    </row>
    <row r="122" spans="1:7" x14ac:dyDescent="0.2">
      <c r="A122" t="s">
        <v>214</v>
      </c>
      <c r="B122" s="32" t="s">
        <v>215</v>
      </c>
      <c r="C122" s="95">
        <f>('DOE25'!L206)+('DOE25'!L224)+('DOE25'!L242)</f>
        <v>77805.829999999987</v>
      </c>
      <c r="D122" s="24" t="s">
        <v>288</v>
      </c>
      <c r="E122" s="95">
        <f>+('DOE25'!L285)+('DOE25'!L304)+('DOE25'!L323)</f>
        <v>0</v>
      </c>
      <c r="F122" s="24" t="s">
        <v>288</v>
      </c>
      <c r="G122" s="24" t="s">
        <v>288</v>
      </c>
    </row>
    <row r="123" spans="1:7" x14ac:dyDescent="0.2">
      <c r="A123" t="s">
        <v>216</v>
      </c>
      <c r="B123" s="32" t="s">
        <v>217</v>
      </c>
      <c r="C123" s="95">
        <f>('DOE25'!L207)+('DOE25'!L225)+('DOE25'!L243)</f>
        <v>123833.65000000001</v>
      </c>
      <c r="D123" s="24" t="s">
        <v>288</v>
      </c>
      <c r="E123" s="95">
        <f>+('DOE25'!L286)+('DOE25'!L305)+('DOE25'!L324)</f>
        <v>0</v>
      </c>
      <c r="F123" s="24" t="s">
        <v>288</v>
      </c>
      <c r="G123" s="24" t="s">
        <v>288</v>
      </c>
    </row>
    <row r="124" spans="1:7" x14ac:dyDescent="0.2">
      <c r="A124" t="s">
        <v>218</v>
      </c>
      <c r="B124" s="32" t="s">
        <v>219</v>
      </c>
      <c r="C124" s="95">
        <f>('DOE25'!L208)+('DOE25'!L226)+('DOE25'!L244+'DOE25'!L254)</f>
        <v>126890.07</v>
      </c>
      <c r="D124" s="24" t="s">
        <v>288</v>
      </c>
      <c r="E124" s="95">
        <f>+('DOE25'!L287)+('DOE25'!L306)+('DOE25'!L325)</f>
        <v>1072</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75008.459999999992</v>
      </c>
      <c r="E127" s="24" t="s">
        <v>288</v>
      </c>
      <c r="F127" s="24" t="s">
        <v>288</v>
      </c>
      <c r="G127" s="24" t="s">
        <v>288</v>
      </c>
    </row>
    <row r="128" spans="1:7" ht="12.75" thickTop="1" thickBot="1" x14ac:dyDescent="0.25">
      <c r="A128" s="33" t="s">
        <v>226</v>
      </c>
      <c r="C128" s="86">
        <f>SUM(C118:C127)</f>
        <v>1013421.56</v>
      </c>
      <c r="D128" s="86">
        <f>SUM(D118:D127)</f>
        <v>75008.459999999992</v>
      </c>
      <c r="E128" s="86">
        <f>SUM(E118:E127)</f>
        <v>9823.6299999999992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31192.62</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28010.02</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55989.35</v>
      </c>
      <c r="D138" s="24" t="s">
        <v>288</v>
      </c>
      <c r="E138" s="24" t="s">
        <v>288</v>
      </c>
      <c r="F138" s="24" t="s">
        <v>288</v>
      </c>
      <c r="G138" s="24" t="s">
        <v>288</v>
      </c>
    </row>
    <row r="139" spans="1:7" x14ac:dyDescent="0.2">
      <c r="A139" t="s">
        <v>239</v>
      </c>
      <c r="B139" s="32">
        <v>5252</v>
      </c>
      <c r="C139" s="95">
        <f>'DOE25'!L401</f>
        <v>20725.11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-1214.4599999999919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134702.63999999998</v>
      </c>
      <c r="D144" s="141">
        <f>SUM(D130:D143)</f>
        <v>0</v>
      </c>
      <c r="E144" s="141">
        <f>SUM(E130:E143)</f>
        <v>0</v>
      </c>
      <c r="F144" s="141">
        <f>SUM(F130:F143)</f>
        <v>0</v>
      </c>
      <c r="G144" s="141">
        <f>SUM(G130:G143)</f>
        <v>0</v>
      </c>
    </row>
    <row r="145" spans="1:9" ht="12.75" thickTop="1" thickBot="1" x14ac:dyDescent="0.25">
      <c r="A145" s="33" t="s">
        <v>244</v>
      </c>
      <c r="C145" s="86">
        <f>(C115+C128+C144)</f>
        <v>3273272.45</v>
      </c>
      <c r="D145" s="86">
        <f>(D115+D128+D144)</f>
        <v>75008.459999999992</v>
      </c>
      <c r="E145" s="86">
        <f>(E115+E128+E144)</f>
        <v>74309.42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Monroe School District</v>
      </c>
    </row>
    <row r="3" spans="1:4" x14ac:dyDescent="0.2">
      <c r="B3" s="188" t="s">
        <v>1602</v>
      </c>
    </row>
    <row r="4" spans="1:4" x14ac:dyDescent="0.2">
      <c r="B4" t="s">
        <v>61</v>
      </c>
      <c r="C4" s="179">
        <f>IF('DOE25'!F665+'DOE25'!F670=0,0,ROUND('DOE25'!F672,0))</f>
        <v>29894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29894</v>
      </c>
    </row>
    <row r="9" spans="1:4" x14ac:dyDescent="0.2">
      <c r="A9" s="187" t="s">
        <v>94</v>
      </c>
      <c r="B9" s="188" t="s">
        <v>1603</v>
      </c>
      <c r="C9" s="181" t="s">
        <v>720</v>
      </c>
      <c r="D9" s="181" t="s">
        <v>721</v>
      </c>
    </row>
    <row r="10" spans="1:4" x14ac:dyDescent="0.2">
      <c r="A10">
        <v>1100</v>
      </c>
      <c r="B10" t="s">
        <v>702</v>
      </c>
      <c r="C10" s="179">
        <f>ROUND('DOE25'!L197+'DOE25'!L215+'DOE25'!L233+'DOE25'!L276+'DOE25'!L295+'DOE25'!L314,0)</f>
        <v>1662197</v>
      </c>
      <c r="D10" s="182">
        <f>ROUND((C10/$C$28)*100,1)</f>
        <v>50.8</v>
      </c>
    </row>
    <row r="11" spans="1:4" x14ac:dyDescent="0.2">
      <c r="A11">
        <v>1200</v>
      </c>
      <c r="B11" t="s">
        <v>703</v>
      </c>
      <c r="C11" s="179">
        <f>ROUND('DOE25'!L198+'DOE25'!L216+'DOE25'!L234+'DOE25'!L277+'DOE25'!L296+'DOE25'!L315,0)</f>
        <v>501483</v>
      </c>
      <c r="D11" s="182">
        <f>ROUND((C11/$C$28)*100,1)</f>
        <v>15.3</v>
      </c>
    </row>
    <row r="12" spans="1:4" x14ac:dyDescent="0.2">
      <c r="A12">
        <v>1300</v>
      </c>
      <c r="B12" t="s">
        <v>704</v>
      </c>
      <c r="C12" s="179">
        <f>ROUND('DOE25'!L199+'DOE25'!L217+'DOE25'!L235+'DOE25'!L278+'DOE25'!L297+'DOE25'!L316,0)</f>
        <v>2528</v>
      </c>
      <c r="D12" s="182">
        <f>ROUND((C12/$C$28)*100,1)</f>
        <v>0.1</v>
      </c>
    </row>
    <row r="13" spans="1:4" x14ac:dyDescent="0.2">
      <c r="A13">
        <v>1400</v>
      </c>
      <c r="B13" t="s">
        <v>705</v>
      </c>
      <c r="C13" s="179">
        <f>ROUND('DOE25'!L200+'DOE25'!L218+'DOE25'!L236+'DOE25'!L279+'DOE25'!L298+'DOE25'!L317,0)</f>
        <v>23426</v>
      </c>
      <c r="D13" s="182">
        <f>ROUND((C13/$C$28)*100,1)</f>
        <v>0.7</v>
      </c>
    </row>
    <row r="14" spans="1:4" x14ac:dyDescent="0.2">
      <c r="D14" s="182"/>
    </row>
    <row r="15" spans="1:4" x14ac:dyDescent="0.2">
      <c r="A15">
        <v>2100</v>
      </c>
      <c r="B15" t="s">
        <v>706</v>
      </c>
      <c r="C15" s="179">
        <f>ROUND('DOE25'!L202+'DOE25'!L220+'DOE25'!L238+'DOE25'!L281+'DOE25'!L300+'DOE25'!L319,0)</f>
        <v>200325</v>
      </c>
      <c r="D15" s="182">
        <f t="shared" ref="D15:D27" si="0">ROUND((C15/$C$28)*100,1)</f>
        <v>6.1</v>
      </c>
    </row>
    <row r="16" spans="1:4" x14ac:dyDescent="0.2">
      <c r="A16">
        <v>2200</v>
      </c>
      <c r="B16" t="s">
        <v>707</v>
      </c>
      <c r="C16" s="179">
        <f>ROUND('DOE25'!L203+'DOE25'!L221+'DOE25'!L239+'DOE25'!L282+'DOE25'!L301+'DOE25'!L320,0)</f>
        <v>99860</v>
      </c>
      <c r="D16" s="182">
        <f t="shared" si="0"/>
        <v>3.1</v>
      </c>
    </row>
    <row r="17" spans="1:4" x14ac:dyDescent="0.2">
      <c r="A17" s="183" t="s">
        <v>723</v>
      </c>
      <c r="B17" t="s">
        <v>738</v>
      </c>
      <c r="C17" s="179">
        <f>ROUND('DOE25'!L204+'DOE25'!L209+'DOE25'!L222+'DOE25'!L227+'DOE25'!L240+'DOE25'!L245+'DOE25'!L283+'DOE25'!L288+'DOE25'!L302+'DOE25'!L307+'DOE25'!L321+'DOE25'!L326,0)</f>
        <v>187994</v>
      </c>
      <c r="D17" s="182">
        <f t="shared" si="0"/>
        <v>5.7</v>
      </c>
    </row>
    <row r="18" spans="1:4" x14ac:dyDescent="0.2">
      <c r="A18">
        <v>2400</v>
      </c>
      <c r="B18" t="s">
        <v>711</v>
      </c>
      <c r="C18" s="179">
        <f>ROUND('DOE25'!L205+'DOE25'!L223+'DOE25'!L241+'DOE25'!L284+'DOE25'!L303+'DOE25'!L322,0)</f>
        <v>205464</v>
      </c>
      <c r="D18" s="182">
        <f t="shared" si="0"/>
        <v>6.3</v>
      </c>
    </row>
    <row r="19" spans="1:4" x14ac:dyDescent="0.2">
      <c r="A19">
        <v>2500</v>
      </c>
      <c r="B19" t="s">
        <v>708</v>
      </c>
      <c r="C19" s="179">
        <f>ROUND('DOE25'!L206+'DOE25'!L224+'DOE25'!L242+'DOE25'!L285+'DOE25'!L304+'DOE25'!L323,0)</f>
        <v>77806</v>
      </c>
      <c r="D19" s="182">
        <f t="shared" si="0"/>
        <v>2.4</v>
      </c>
    </row>
    <row r="20" spans="1:4" x14ac:dyDescent="0.2">
      <c r="A20">
        <v>2600</v>
      </c>
      <c r="B20" t="s">
        <v>709</v>
      </c>
      <c r="C20" s="179">
        <f>ROUND('DOE25'!L207+'DOE25'!L225+'DOE25'!L243+'DOE25'!L286+'DOE25'!L305+'DOE25'!L324,0)</f>
        <v>123834</v>
      </c>
      <c r="D20" s="182">
        <f t="shared" si="0"/>
        <v>3.8</v>
      </c>
    </row>
    <row r="21" spans="1:4" x14ac:dyDescent="0.2">
      <c r="A21">
        <v>2700</v>
      </c>
      <c r="B21" t="s">
        <v>710</v>
      </c>
      <c r="C21" s="179">
        <f>ROUND('DOE25'!L208+'DOE25'!L226+'DOE25'!L244+'DOE25'!L287+'DOE25'!L306+'DOE25'!L325,0)</f>
        <v>127962</v>
      </c>
      <c r="D21" s="182">
        <f t="shared" si="0"/>
        <v>3.9</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56832.65</v>
      </c>
      <c r="D27" s="182">
        <f t="shared" si="0"/>
        <v>1.7</v>
      </c>
    </row>
    <row r="28" spans="1:4" x14ac:dyDescent="0.2">
      <c r="B28" s="187" t="s">
        <v>719</v>
      </c>
      <c r="C28" s="180">
        <f>SUM(C10:C27)</f>
        <v>3269711.65</v>
      </c>
      <c r="D28" s="184">
        <f>ROUND(SUM(D10:D27),0)</f>
        <v>100</v>
      </c>
    </row>
    <row r="29" spans="1:4" x14ac:dyDescent="0.2">
      <c r="A29">
        <v>4000</v>
      </c>
      <c r="B29" t="s">
        <v>724</v>
      </c>
      <c r="C29" s="179">
        <f>ROUND('DOE25'!L255+'DOE25'!L336+'DOE25'!L374+'DOE25'!L375+'DOE25'!L376+'DOE25'!L377+'DOE25'!L378+'DOE25'!L379+'DOE25'!L380,0)</f>
        <v>31193</v>
      </c>
    </row>
    <row r="30" spans="1:4" x14ac:dyDescent="0.2">
      <c r="B30" s="187" t="s">
        <v>725</v>
      </c>
      <c r="C30" s="180">
        <f>SUM(C28:C29)</f>
        <v>3300904.65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2648443</v>
      </c>
      <c r="D35" s="182">
        <f t="shared" ref="D35:D40" si="1">ROUND((C35/$C$41)*100,1)</f>
        <v>78.3</v>
      </c>
    </row>
    <row r="36" spans="1:4" x14ac:dyDescent="0.2">
      <c r="B36" s="185" t="s">
        <v>739</v>
      </c>
      <c r="C36" s="179">
        <f>SUM('DOE25'!F112:J112)-SUM('DOE25'!G97:G110)+('DOE25'!F174+'DOE25'!F175+'DOE25'!I174+'DOE25'!I175)-C35</f>
        <v>48169.549999999814</v>
      </c>
      <c r="D36" s="182">
        <f t="shared" si="1"/>
        <v>1.4</v>
      </c>
    </row>
    <row r="37" spans="1:4" x14ac:dyDescent="0.2">
      <c r="A37" s="183" t="s">
        <v>835</v>
      </c>
      <c r="B37" s="185" t="s">
        <v>728</v>
      </c>
      <c r="C37" s="179">
        <f>ROUND('DOE25'!F117+'DOE25'!F118,0)</f>
        <v>564597</v>
      </c>
      <c r="D37" s="182">
        <f t="shared" si="1"/>
        <v>16.7</v>
      </c>
    </row>
    <row r="38" spans="1:4" x14ac:dyDescent="0.2">
      <c r="A38" s="183" t="s">
        <v>734</v>
      </c>
      <c r="B38" s="185" t="s">
        <v>729</v>
      </c>
      <c r="C38" s="179">
        <f>ROUND(SUM('DOE25'!F140:J140)-SUM('DOE25'!F117:F119),0)</f>
        <v>24840</v>
      </c>
      <c r="D38" s="182">
        <f t="shared" si="1"/>
        <v>0.7</v>
      </c>
    </row>
    <row r="39" spans="1:4" x14ac:dyDescent="0.2">
      <c r="A39">
        <v>4000</v>
      </c>
      <c r="B39" s="185" t="s">
        <v>730</v>
      </c>
      <c r="C39" s="179">
        <f>ROUND('DOE25'!F169+'DOE25'!G169+'DOE25'!H169+'DOE25'!I169,0)</f>
        <v>97467</v>
      </c>
      <c r="D39" s="182">
        <f t="shared" si="1"/>
        <v>2.9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3383516.55</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Monroe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2019-11-14T13:28:53Z</cp:lastPrinted>
  <dcterms:created xsi:type="dcterms:W3CDTF">1997-12-04T19:04:30Z</dcterms:created>
  <dcterms:modified xsi:type="dcterms:W3CDTF">2019-11-14T13:29:23Z</dcterms:modified>
</cp:coreProperties>
</file>