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15" i="1" l="1"/>
  <c r="H198" i="1"/>
  <c r="F50" i="1"/>
  <c r="F23" i="1"/>
  <c r="H604" i="1" l="1"/>
  <c r="G48" i="1"/>
  <c r="B39" i="12" l="1"/>
  <c r="B37" i="12"/>
  <c r="B21" i="12"/>
  <c r="B20" i="12"/>
  <c r="B19" i="12"/>
  <c r="B11" i="12"/>
  <c r="B12" i="12"/>
  <c r="B10" i="12"/>
  <c r="G611" i="1" l="1"/>
  <c r="F611" i="1"/>
  <c r="F579" i="1"/>
  <c r="G575" i="1"/>
  <c r="H526" i="1"/>
  <c r="H521" i="1"/>
  <c r="F368" i="1"/>
  <c r="F367" i="1"/>
  <c r="H20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36" i="14" l="1"/>
  <c r="B2" i="14" l="1"/>
  <c r="A2" i="14"/>
  <c r="F33" i="13" l="1"/>
  <c r="C45" i="2" l="1"/>
  <c r="C37" i="10" l="1"/>
  <c r="F40" i="2" l="1"/>
  <c r="D39" i="2"/>
  <c r="G655" i="1"/>
  <c r="F48" i="2"/>
  <c r="E48" i="2"/>
  <c r="D48" i="2"/>
  <c r="C48" i="2"/>
  <c r="F47" i="2"/>
  <c r="E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22" i="2" s="1"/>
  <c r="L224" i="1"/>
  <c r="L242" i="1"/>
  <c r="G16" i="13"/>
  <c r="H16" i="13"/>
  <c r="L209" i="1"/>
  <c r="C125" i="2" s="1"/>
  <c r="L227" i="1"/>
  <c r="L245" i="1"/>
  <c r="G5" i="13"/>
  <c r="H5" i="13"/>
  <c r="L197" i="1"/>
  <c r="L198" i="1"/>
  <c r="L199" i="1"/>
  <c r="L200" i="1"/>
  <c r="C112" i="2" s="1"/>
  <c r="L215" i="1"/>
  <c r="L216" i="1"/>
  <c r="L217" i="1"/>
  <c r="L218" i="1"/>
  <c r="L233" i="1"/>
  <c r="L234" i="1"/>
  <c r="L235" i="1"/>
  <c r="L247" i="1" s="1"/>
  <c r="L236" i="1"/>
  <c r="G6" i="13"/>
  <c r="H6" i="13"/>
  <c r="L202" i="1"/>
  <c r="L220" i="1"/>
  <c r="L238" i="1"/>
  <c r="G7" i="13"/>
  <c r="H7" i="13"/>
  <c r="L203" i="1"/>
  <c r="C119" i="2" s="1"/>
  <c r="L221" i="1"/>
  <c r="L239" i="1"/>
  <c r="G12" i="13"/>
  <c r="H12" i="13"/>
  <c r="L205" i="1"/>
  <c r="L223" i="1"/>
  <c r="L241" i="1"/>
  <c r="G14" i="13"/>
  <c r="H14" i="13"/>
  <c r="L207" i="1"/>
  <c r="L225" i="1"/>
  <c r="C123" i="2" s="1"/>
  <c r="L243" i="1"/>
  <c r="G15" i="13"/>
  <c r="H15" i="13"/>
  <c r="L208" i="1"/>
  <c r="L226" i="1"/>
  <c r="G650" i="1" s="1"/>
  <c r="L244" i="1"/>
  <c r="G17" i="13"/>
  <c r="H17" i="13"/>
  <c r="L251" i="1"/>
  <c r="G18" i="13"/>
  <c r="H18" i="13"/>
  <c r="L252" i="1"/>
  <c r="G19" i="13"/>
  <c r="H19" i="13"/>
  <c r="L253" i="1"/>
  <c r="G29" i="13"/>
  <c r="H29" i="13"/>
  <c r="L358" i="1"/>
  <c r="G472" i="1" s="1"/>
  <c r="L359" i="1"/>
  <c r="L360" i="1"/>
  <c r="I367" i="1"/>
  <c r="J290" i="1"/>
  <c r="J309" i="1"/>
  <c r="J328" i="1"/>
  <c r="K290" i="1"/>
  <c r="K309" i="1"/>
  <c r="K328" i="1"/>
  <c r="L276" i="1"/>
  <c r="L277" i="1"/>
  <c r="C11" i="10" s="1"/>
  <c r="L278" i="1"/>
  <c r="L279" i="1"/>
  <c r="L281" i="1"/>
  <c r="E118" i="2" s="1"/>
  <c r="L282" i="1"/>
  <c r="L283" i="1"/>
  <c r="L284" i="1"/>
  <c r="L285" i="1"/>
  <c r="L286" i="1"/>
  <c r="E123" i="2" s="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E131" i="2" s="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H79" i="1"/>
  <c r="H94" i="1"/>
  <c r="E58" i="2" s="1"/>
  <c r="H111" i="1"/>
  <c r="I111" i="1"/>
  <c r="I112" i="1" s="1"/>
  <c r="J111" i="1"/>
  <c r="J112" i="1" s="1"/>
  <c r="F121" i="1"/>
  <c r="F136" i="1"/>
  <c r="G121" i="1"/>
  <c r="G136" i="1"/>
  <c r="H121" i="1"/>
  <c r="H140" i="1" s="1"/>
  <c r="H136" i="1"/>
  <c r="I121" i="1"/>
  <c r="I136" i="1"/>
  <c r="J121" i="1"/>
  <c r="J140" i="1" s="1"/>
  <c r="J136" i="1"/>
  <c r="F147" i="1"/>
  <c r="F162" i="1"/>
  <c r="G147" i="1"/>
  <c r="D85" i="2" s="1"/>
  <c r="G162" i="1"/>
  <c r="H147" i="1"/>
  <c r="E85" i="2" s="1"/>
  <c r="H162" i="1"/>
  <c r="I147" i="1"/>
  <c r="I169" i="1" s="1"/>
  <c r="I162" i="1"/>
  <c r="C12" i="10"/>
  <c r="L250" i="1"/>
  <c r="C113" i="2" s="1"/>
  <c r="L332" i="1"/>
  <c r="L254" i="1"/>
  <c r="C25" i="10"/>
  <c r="L268" i="1"/>
  <c r="L269" i="1"/>
  <c r="L349" i="1"/>
  <c r="L350" i="1"/>
  <c r="E143" i="2" s="1"/>
  <c r="I665" i="1"/>
  <c r="I670" i="1"/>
  <c r="F662" i="1"/>
  <c r="G662" i="1"/>
  <c r="H662" i="1"/>
  <c r="I669" i="1"/>
  <c r="C42" i="10"/>
  <c r="L374" i="1"/>
  <c r="L375" i="1"/>
  <c r="L376" i="1"/>
  <c r="L377" i="1"/>
  <c r="L378" i="1"/>
  <c r="L379" i="1"/>
  <c r="L380" i="1"/>
  <c r="B2" i="10"/>
  <c r="L344" i="1"/>
  <c r="E134" i="2"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56" i="2"/>
  <c r="D56" i="2"/>
  <c r="E56" i="2"/>
  <c r="E57" i="2"/>
  <c r="C58" i="2"/>
  <c r="C59" i="2"/>
  <c r="D59" i="2"/>
  <c r="E59" i="2"/>
  <c r="F59" i="2"/>
  <c r="D60" i="2"/>
  <c r="C61" i="2"/>
  <c r="D61" i="2"/>
  <c r="E61" i="2"/>
  <c r="F61" i="2"/>
  <c r="C66" i="2"/>
  <c r="C70" i="2" s="1"/>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E120" i="2"/>
  <c r="C121" i="2"/>
  <c r="C124" i="2"/>
  <c r="E124" i="2"/>
  <c r="F128" i="2"/>
  <c r="G128" i="2"/>
  <c r="D134" i="2"/>
  <c r="D144" i="2" s="1"/>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G620" i="1" s="1"/>
  <c r="F32" i="1"/>
  <c r="G32" i="1"/>
  <c r="H32" i="1"/>
  <c r="I32" i="1"/>
  <c r="H51" i="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3" i="1" s="1"/>
  <c r="L430" i="1"/>
  <c r="L431" i="1"/>
  <c r="L432" i="1"/>
  <c r="F433" i="1"/>
  <c r="G433" i="1"/>
  <c r="H433" i="1"/>
  <c r="I433" i="1"/>
  <c r="J433" i="1"/>
  <c r="F446" i="1"/>
  <c r="G446" i="1"/>
  <c r="G640" i="1" s="1"/>
  <c r="H446" i="1"/>
  <c r="G641" i="1" s="1"/>
  <c r="F452" i="1"/>
  <c r="F461" i="1" s="1"/>
  <c r="H639" i="1" s="1"/>
  <c r="G452" i="1"/>
  <c r="G461" i="1" s="1"/>
  <c r="H640" i="1" s="1"/>
  <c r="H452" i="1"/>
  <c r="F460" i="1"/>
  <c r="G460" i="1"/>
  <c r="H460" i="1"/>
  <c r="I470" i="1"/>
  <c r="G474" i="1"/>
  <c r="I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F571" i="1" s="1"/>
  <c r="G570" i="1"/>
  <c r="H570" i="1"/>
  <c r="I570" i="1"/>
  <c r="I571" i="1" s="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19" i="1"/>
  <c r="G624" i="1"/>
  <c r="H630" i="1"/>
  <c r="H635" i="1"/>
  <c r="H636" i="1"/>
  <c r="G639" i="1"/>
  <c r="G643" i="1"/>
  <c r="H643" i="1"/>
  <c r="G644" i="1"/>
  <c r="G645" i="1"/>
  <c r="H645" i="1"/>
  <c r="H647" i="1"/>
  <c r="G649" i="1"/>
  <c r="G651" i="1"/>
  <c r="G652" i="1"/>
  <c r="H652" i="1"/>
  <c r="G653" i="1"/>
  <c r="H653" i="1"/>
  <c r="G654" i="1"/>
  <c r="H654" i="1"/>
  <c r="H655" i="1"/>
  <c r="F192" i="1"/>
  <c r="G164" i="2"/>
  <c r="F78" i="2"/>
  <c r="G157" i="2"/>
  <c r="E78" i="2"/>
  <c r="H112" i="1"/>
  <c r="H169" i="1"/>
  <c r="J552" i="1"/>
  <c r="L309" i="1"/>
  <c r="G36" i="2"/>
  <c r="J639" i="1" l="1"/>
  <c r="E62" i="2"/>
  <c r="E63" i="2" s="1"/>
  <c r="J651" i="1"/>
  <c r="F81" i="2"/>
  <c r="H571" i="1"/>
  <c r="L570" i="1"/>
  <c r="L565" i="1"/>
  <c r="G192" i="1"/>
  <c r="I52" i="1"/>
  <c r="H620" i="1" s="1"/>
  <c r="F85" i="2"/>
  <c r="I552" i="1"/>
  <c r="F169" i="1"/>
  <c r="G112" i="1"/>
  <c r="A31" i="12"/>
  <c r="G661" i="1"/>
  <c r="I662" i="1"/>
  <c r="I25" i="13"/>
  <c r="C25" i="13" s="1"/>
  <c r="L351" i="1"/>
  <c r="L614" i="1"/>
  <c r="H461" i="1"/>
  <c r="H641" i="1" s="1"/>
  <c r="H52" i="1"/>
  <c r="H619" i="1" s="1"/>
  <c r="F338" i="1"/>
  <c r="F352" i="1" s="1"/>
  <c r="E122" i="2"/>
  <c r="E109" i="2"/>
  <c r="C111" i="2"/>
  <c r="J640" i="1"/>
  <c r="C17" i="10"/>
  <c r="D19" i="13"/>
  <c r="C19" i="13" s="1"/>
  <c r="D14" i="13"/>
  <c r="C14" i="13" s="1"/>
  <c r="C120" i="2"/>
  <c r="K551" i="1"/>
  <c r="K550" i="1"/>
  <c r="F112" i="1"/>
  <c r="G62" i="2"/>
  <c r="L427" i="1"/>
  <c r="L419" i="1"/>
  <c r="L434" i="1" s="1"/>
  <c r="E103" i="2"/>
  <c r="E119" i="2"/>
  <c r="A40" i="12"/>
  <c r="I452" i="1"/>
  <c r="J641" i="1"/>
  <c r="I460" i="1"/>
  <c r="I446" i="1"/>
  <c r="G642" i="1" s="1"/>
  <c r="L401" i="1"/>
  <c r="C139" i="2" s="1"/>
  <c r="I369" i="1"/>
  <c r="H634" i="1" s="1"/>
  <c r="J634" i="1" s="1"/>
  <c r="C118" i="2"/>
  <c r="G552" i="1"/>
  <c r="H552" i="1"/>
  <c r="L534" i="1"/>
  <c r="I545" i="1"/>
  <c r="F552" i="1"/>
  <c r="H545" i="1"/>
  <c r="C21" i="10"/>
  <c r="C19" i="10"/>
  <c r="C15" i="10"/>
  <c r="L270" i="1"/>
  <c r="J257" i="1"/>
  <c r="J271" i="1" s="1"/>
  <c r="I257" i="1"/>
  <c r="I271" i="1" s="1"/>
  <c r="F257" i="1"/>
  <c r="F271" i="1" s="1"/>
  <c r="J643" i="1"/>
  <c r="K605" i="1"/>
  <c r="G648" i="1" s="1"/>
  <c r="K598" i="1"/>
  <c r="G647" i="1" s="1"/>
  <c r="J647" i="1" s="1"/>
  <c r="J571" i="1"/>
  <c r="K545" i="1"/>
  <c r="G545" i="1"/>
  <c r="L256" i="1"/>
  <c r="H257" i="1"/>
  <c r="H271" i="1" s="1"/>
  <c r="G161" i="2"/>
  <c r="G156" i="2"/>
  <c r="D91" i="2"/>
  <c r="K257" i="1"/>
  <c r="K271" i="1" s="1"/>
  <c r="F130" i="2"/>
  <c r="F144" i="2" s="1"/>
  <c r="F145" i="2" s="1"/>
  <c r="L393" i="1"/>
  <c r="C138" i="2" s="1"/>
  <c r="C29" i="10"/>
  <c r="L328" i="1"/>
  <c r="E125" i="2"/>
  <c r="E121" i="2"/>
  <c r="C13" i="10"/>
  <c r="C18" i="10"/>
  <c r="L211" i="1"/>
  <c r="D5" i="14" s="1"/>
  <c r="J655" i="1"/>
  <c r="J645" i="1"/>
  <c r="K500" i="1"/>
  <c r="I476" i="1"/>
  <c r="H625" i="1" s="1"/>
  <c r="D31" i="2"/>
  <c r="F18" i="2"/>
  <c r="C18" i="2"/>
  <c r="D18" i="2"/>
  <c r="J649" i="1"/>
  <c r="K571" i="1"/>
  <c r="L560" i="1"/>
  <c r="J545" i="1"/>
  <c r="C78" i="2"/>
  <c r="C81" i="2" s="1"/>
  <c r="D81" i="2"/>
  <c r="D62" i="2"/>
  <c r="D63" i="2" s="1"/>
  <c r="J644" i="1"/>
  <c r="C35" i="10"/>
  <c r="C36" i="10" s="1"/>
  <c r="G625" i="1"/>
  <c r="L529" i="1"/>
  <c r="C130" i="2"/>
  <c r="C114" i="2"/>
  <c r="C110" i="2"/>
  <c r="G81" i="2"/>
  <c r="C62" i="2"/>
  <c r="C63" i="2" s="1"/>
  <c r="C104" i="2" s="1"/>
  <c r="C32" i="10"/>
  <c r="F661" i="1"/>
  <c r="L362" i="1"/>
  <c r="G635" i="1" s="1"/>
  <c r="J635" i="1" s="1"/>
  <c r="D18" i="13"/>
  <c r="C18" i="13" s="1"/>
  <c r="D15" i="13"/>
  <c r="C15" i="13" s="1"/>
  <c r="D6" i="13"/>
  <c r="C6" i="13" s="1"/>
  <c r="E13" i="13"/>
  <c r="C13" i="13" s="1"/>
  <c r="C128" i="2"/>
  <c r="K549" i="1"/>
  <c r="K552" i="1" s="1"/>
  <c r="L382" i="1"/>
  <c r="G636" i="1" s="1"/>
  <c r="J636" i="1" s="1"/>
  <c r="G257" i="1"/>
  <c r="G271" i="1" s="1"/>
  <c r="C85" i="2"/>
  <c r="C91" i="2" s="1"/>
  <c r="H661" i="1"/>
  <c r="C20" i="10"/>
  <c r="A13" i="12"/>
  <c r="D29" i="13"/>
  <c r="C29" i="13" s="1"/>
  <c r="D12" i="13"/>
  <c r="C12" i="13" s="1"/>
  <c r="D5" i="13"/>
  <c r="C5" i="13" s="1"/>
  <c r="E8" i="13"/>
  <c r="C8" i="13" s="1"/>
  <c r="H338" i="1"/>
  <c r="H352" i="1" s="1"/>
  <c r="G22" i="13"/>
  <c r="C22" i="13" s="1"/>
  <c r="L539" i="1"/>
  <c r="K503" i="1"/>
  <c r="K338" i="1"/>
  <c r="K352" i="1" s="1"/>
  <c r="I33" i="13"/>
  <c r="E81" i="2"/>
  <c r="L290" i="1"/>
  <c r="E5" i="14" s="1"/>
  <c r="C26" i="10"/>
  <c r="L544" i="1"/>
  <c r="L524" i="1"/>
  <c r="J338" i="1"/>
  <c r="J352" i="1" s="1"/>
  <c r="D127" i="2"/>
  <c r="D128" i="2" s="1"/>
  <c r="D145" i="2" s="1"/>
  <c r="E112" i="2"/>
  <c r="E115" i="2" s="1"/>
  <c r="C16" i="10"/>
  <c r="D17" i="13"/>
  <c r="C17" i="13" s="1"/>
  <c r="D7" i="13"/>
  <c r="C7" i="13" s="1"/>
  <c r="E16" i="13"/>
  <c r="C16" i="13" s="1"/>
  <c r="H660" i="1"/>
  <c r="G36" i="14"/>
  <c r="H36" i="14" s="1"/>
  <c r="I36" i="14" s="1"/>
  <c r="C10" i="10"/>
  <c r="C109" i="2"/>
  <c r="L229" i="1"/>
  <c r="L337" i="1"/>
  <c r="F62" i="2"/>
  <c r="F63" i="2" s="1"/>
  <c r="C23" i="10"/>
  <c r="G163" i="2"/>
  <c r="G162" i="2"/>
  <c r="G160" i="2"/>
  <c r="G159" i="2"/>
  <c r="G158" i="2"/>
  <c r="G103" i="2"/>
  <c r="F103" i="2"/>
  <c r="C103" i="2"/>
  <c r="F91" i="2"/>
  <c r="E50" i="2"/>
  <c r="E51" i="2" s="1"/>
  <c r="F31" i="2"/>
  <c r="C31" i="2"/>
  <c r="E18" i="2"/>
  <c r="E144" i="2"/>
  <c r="F50" i="2"/>
  <c r="F51" i="2" s="1"/>
  <c r="C24" i="10"/>
  <c r="H31" i="13"/>
  <c r="H33" i="13" s="1"/>
  <c r="I338" i="1"/>
  <c r="I352" i="1" s="1"/>
  <c r="J650" i="1"/>
  <c r="L407" i="1"/>
  <c r="C140" i="2" s="1"/>
  <c r="C141" i="2" s="1"/>
  <c r="L571" i="1"/>
  <c r="I192" i="1"/>
  <c r="E91" i="2"/>
  <c r="L408" i="1"/>
  <c r="J654" i="1"/>
  <c r="J653" i="1"/>
  <c r="G21" i="2"/>
  <c r="G31" i="2" s="1"/>
  <c r="J32" i="1"/>
  <c r="J434" i="1"/>
  <c r="F434" i="1"/>
  <c r="K434" i="1"/>
  <c r="G134" i="2" s="1"/>
  <c r="G144" i="2" s="1"/>
  <c r="G145" i="2" s="1"/>
  <c r="G31" i="13"/>
  <c r="J193" i="1"/>
  <c r="G646" i="1" s="1"/>
  <c r="H193" i="1"/>
  <c r="G169" i="1"/>
  <c r="C39" i="10" s="1"/>
  <c r="G140" i="1"/>
  <c r="F140" i="1"/>
  <c r="G63" i="2"/>
  <c r="G42" i="2"/>
  <c r="J51" i="1"/>
  <c r="G16" i="2"/>
  <c r="G18" i="2" s="1"/>
  <c r="J19" i="1"/>
  <c r="G621" i="1" s="1"/>
  <c r="F545" i="1"/>
  <c r="H434" i="1"/>
  <c r="J620" i="1"/>
  <c r="J619" i="1"/>
  <c r="D103" i="2"/>
  <c r="I140" i="1"/>
  <c r="I193" i="1" s="1"/>
  <c r="G630" i="1" s="1"/>
  <c r="J630" i="1" s="1"/>
  <c r="A22" i="12"/>
  <c r="G50" i="2"/>
  <c r="J652" i="1"/>
  <c r="G571" i="1"/>
  <c r="I434" i="1"/>
  <c r="G434" i="1"/>
  <c r="I663" i="1"/>
  <c r="C27" i="10"/>
  <c r="F193" i="1" l="1"/>
  <c r="F468" i="1" s="1"/>
  <c r="I461" i="1"/>
  <c r="H642" i="1" s="1"/>
  <c r="J642" i="1" s="1"/>
  <c r="G24" i="14"/>
  <c r="D25" i="14"/>
  <c r="F25" i="14" s="1"/>
  <c r="F24" i="14" s="1"/>
  <c r="F5" i="14"/>
  <c r="F4" i="14" s="1"/>
  <c r="H472" i="1"/>
  <c r="G637" i="1"/>
  <c r="J468" i="1"/>
  <c r="G638" i="1"/>
  <c r="J472" i="1"/>
  <c r="G629" i="1"/>
  <c r="H468" i="1"/>
  <c r="E104" i="2"/>
  <c r="J625" i="1"/>
  <c r="H646" i="1"/>
  <c r="J646" i="1" s="1"/>
  <c r="E128" i="2"/>
  <c r="E145" i="2" s="1"/>
  <c r="F660" i="1"/>
  <c r="F664" i="1" s="1"/>
  <c r="F667" i="1" s="1"/>
  <c r="D104" i="2"/>
  <c r="F104" i="2"/>
  <c r="G51" i="2"/>
  <c r="D31" i="13"/>
  <c r="C31" i="13" s="1"/>
  <c r="H648" i="1"/>
  <c r="J648" i="1" s="1"/>
  <c r="G104" i="2"/>
  <c r="G33" i="13"/>
  <c r="C144" i="2"/>
  <c r="G660" i="1"/>
  <c r="G664" i="1" s="1"/>
  <c r="G667" i="1" s="1"/>
  <c r="E33" i="13"/>
  <c r="D35" i="13" s="1"/>
  <c r="G4" i="14"/>
  <c r="L257" i="1"/>
  <c r="L271" i="1" s="1"/>
  <c r="F472" i="1" s="1"/>
  <c r="L338" i="1"/>
  <c r="L352" i="1" s="1"/>
  <c r="G633" i="1" s="1"/>
  <c r="C115" i="2"/>
  <c r="H664" i="1"/>
  <c r="L545" i="1"/>
  <c r="I661" i="1"/>
  <c r="C28" i="10"/>
  <c r="D23" i="10" s="1"/>
  <c r="G631" i="1"/>
  <c r="G193" i="1"/>
  <c r="G626" i="1"/>
  <c r="J52" i="1"/>
  <c r="H621" i="1" s="1"/>
  <c r="J621" i="1" s="1"/>
  <c r="C38" i="10"/>
  <c r="H24" i="14" l="1"/>
  <c r="I24" i="14" s="1"/>
  <c r="G627" i="1"/>
  <c r="H4" i="14"/>
  <c r="I4" i="14" s="1"/>
  <c r="H638" i="1"/>
  <c r="J638" i="1" s="1"/>
  <c r="J474" i="1"/>
  <c r="F470" i="1"/>
  <c r="H627" i="1"/>
  <c r="J627" i="1" s="1"/>
  <c r="G628" i="1"/>
  <c r="G468" i="1"/>
  <c r="H633" i="1"/>
  <c r="J633" i="1" s="1"/>
  <c r="H474" i="1"/>
  <c r="H629" i="1"/>
  <c r="H470" i="1"/>
  <c r="J470" i="1"/>
  <c r="J476" i="1" s="1"/>
  <c r="H626" i="1" s="1"/>
  <c r="J626" i="1" s="1"/>
  <c r="H631" i="1"/>
  <c r="J631" i="1" s="1"/>
  <c r="H637" i="1"/>
  <c r="F474" i="1"/>
  <c r="H632" i="1"/>
  <c r="J629" i="1"/>
  <c r="J637" i="1"/>
  <c r="G632" i="1"/>
  <c r="F672" i="1"/>
  <c r="C4" i="10" s="1"/>
  <c r="D25" i="10"/>
  <c r="C145" i="2"/>
  <c r="G672" i="1"/>
  <c r="C5" i="10" s="1"/>
  <c r="I660" i="1"/>
  <c r="I664" i="1" s="1"/>
  <c r="I672" i="1" s="1"/>
  <c r="C7" i="10" s="1"/>
  <c r="H667" i="1"/>
  <c r="H672" i="1"/>
  <c r="C6" i="10" s="1"/>
  <c r="D22" i="10"/>
  <c r="D18" i="10"/>
  <c r="D27" i="10"/>
  <c r="D15" i="10"/>
  <c r="D21" i="10"/>
  <c r="D24" i="10"/>
  <c r="D20" i="10"/>
  <c r="D11" i="10"/>
  <c r="D12" i="10"/>
  <c r="D13" i="10"/>
  <c r="D17" i="10"/>
  <c r="D19" i="10"/>
  <c r="D10" i="10"/>
  <c r="D26" i="10"/>
  <c r="C30" i="10"/>
  <c r="D16" i="10"/>
  <c r="D33" i="13"/>
  <c r="D36" i="13" s="1"/>
  <c r="C41" i="10"/>
  <c r="D38" i="10" s="1"/>
  <c r="H476" i="1" l="1"/>
  <c r="H624" i="1" s="1"/>
  <c r="J624" i="1" s="1"/>
  <c r="J632" i="1"/>
  <c r="G470" i="1"/>
  <c r="G476" i="1" s="1"/>
  <c r="H623" i="1" s="1"/>
  <c r="H628" i="1"/>
  <c r="J628" i="1" s="1"/>
  <c r="G51" i="1"/>
  <c r="D47" i="2"/>
  <c r="D50" i="2" s="1"/>
  <c r="D51" i="2" s="1"/>
  <c r="F476" i="1"/>
  <c r="H622" i="1" s="1"/>
  <c r="F51" i="1"/>
  <c r="C49" i="2"/>
  <c r="C50" i="2" s="1"/>
  <c r="C51" i="2" s="1"/>
  <c r="I667" i="1"/>
  <c r="D28" i="10"/>
  <c r="D37" i="10"/>
  <c r="D36" i="10"/>
  <c r="D35" i="10"/>
  <c r="D40" i="10"/>
  <c r="D39" i="10"/>
  <c r="G623" i="1" l="1"/>
  <c r="J623" i="1" s="1"/>
  <c r="G52" i="1"/>
  <c r="H618" i="1" s="1"/>
  <c r="J618" i="1" s="1"/>
  <c r="G622" i="1"/>
  <c r="F52" i="1"/>
  <c r="H617" i="1" s="1"/>
  <c r="J617" i="1" s="1"/>
  <c r="D41" i="10"/>
  <c r="J622"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<sst xmlns="http://schemas.openxmlformats.org/spreadsheetml/2006/main" count="5508" uniqueCount="1614">
  <si>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</si>
  <si>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</si>
  <si>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</si>
  <si>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</si>
  <si>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</si>
  <si>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</si>
  <si>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</si>
  <si>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</si>
  <si>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</si>
  <si>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</si>
  <si>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</si>
  <si>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</si>
  <si>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</si>
  <si>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</si>
  <si>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</si>
  <si>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</si>
  <si>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</si>
  <si>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</si>
  <si>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</si>
  <si>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</si>
  <si>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</si>
  <si>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</si>
  <si>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</si>
  <si>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</si>
  <si>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</si>
  <si>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</si>
  <si>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</si>
  <si>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</si>
  <si>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</si>
  <si>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</si>
  <si>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</si>
  <si>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</si>
  <si>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</si>
  <si>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</si>
  <si>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</si>
  <si>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</si>
  <si>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</si>
  <si>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</si>
  <si>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</si>
  <si>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</si>
  <si>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</si>
  <si>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</si>
  <si>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</si>
  <si>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</si>
  <si>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</si>
  <si>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</si>
  <si>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</si>
  <si>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</si>
  <si>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</si>
  <si>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</si>
  <si>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</si>
  <si>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</si>
  <si>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</si>
  <si>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</si>
  <si>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</si>
  <si>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</si>
  <si>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</si>
  <si>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</si>
  <si>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</si>
  <si>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</si>
  <si>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</si>
  <si>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</si>
  <si>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</si>
  <si>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</si>
  <si>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</si>
  <si>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</si>
  <si>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</si>
  <si>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</si>
  <si>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</si>
  <si>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</si>
  <si>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</si>
  <si>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</si>
  <si>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</si>
  <si>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</si>
  <si>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</si>
  <si>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</si>
  <si>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</si>
  <si>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</si>
  <si>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</si>
  <si>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</si>
  <si>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</si>
  <si>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</si>
  <si>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</si>
  <si>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</si>
  <si>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</si>
  <si>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</si>
  <si>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</si>
  <si>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</si>
  <si>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</si>
  <si>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</si>
  <si>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</si>
  <si>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</si>
  <si>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</si>
  <si>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</si>
  <si>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</si>
  <si>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</si>
  <si>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</si>
  <si>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</si>
  <si>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</si>
  <si>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</si>
  <si>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</si>
  <si>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</si>
  <si>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</si>
  <si>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</si>
  <si>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</si>
  <si>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</si>
  <si>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</si>
  <si>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</si>
  <si>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</si>
  <si>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</si>
  <si>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</si>
  <si>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</si>
  <si>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</si>
  <si>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</si>
  <si>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</si>
  <si>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</si>
  <si>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</si>
  <si>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</si>
  <si>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</si>
  <si>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</si>
  <si>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</si>
  <si>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</si>
  <si>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</si>
  <si>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</si>
  <si>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</si>
  <si>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</si>
  <si>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</si>
  <si>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</si>
  <si>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</si>
  <si>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</si>
  <si>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</si>
  <si>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</si>
  <si>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</si>
  <si>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</si>
  <si>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</si>
  <si>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</si>
  <si>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</si>
  <si>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</si>
  <si>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</si>
  <si>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</si>
  <si>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</si>
  <si>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</si>
  <si>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</si>
  <si>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</si>
  <si>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</si>
  <si>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</si>
  <si>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</si>
  <si>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</si>
  <si>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</si>
  <si>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</si>
  <si>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</si>
  <si>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</si>
  <si>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</si>
  <si>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</si>
  <si>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</si>
  <si>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</si>
  <si>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</si>
  <si>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</si>
  <si>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</si>
  <si>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</si>
  <si>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</si>
  <si>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</si>
  <si>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</si>
  <si>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</si>
  <si>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</si>
  <si>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</si>
  <si>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</si>
  <si>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</si>
  <si>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</si>
  <si>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</si>
  <si>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</si>
  <si>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</si>
  <si>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</si>
  <si>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</si>
  <si>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</si>
  <si>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</si>
  <si>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</si>
  <si>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</si>
  <si>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</si>
  <si>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</si>
  <si>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</si>
  <si>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</si>
  <si>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</si>
  <si>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</si>
  <si>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</si>
  <si>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</si>
  <si>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</si>
  <si>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</si>
  <si>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</si>
  <si>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</si>
  <si>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</si>
  <si>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</si>
  <si>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</si>
  <si>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</si>
  <si>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</si>
  <si>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</si>
  <si>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</si>
  <si>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</si>
  <si>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</si>
  <si>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</si>
  <si>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</si>
  <si>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</si>
  <si>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</si>
  <si>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</si>
  <si>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</si>
  <si>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</si>
  <si>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</si>
  <si>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</si>
  <si>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</si>
  <si>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</si>
  <si>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</si>
  <si>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</si>
  <si>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</si>
  <si>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</si>
  <si>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</si>
  <si>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</si>
  <si>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</si>
  <si>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</si>
  <si>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</si>
  <si>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</si>
  <si>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</si>
  <si>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</si>
  <si>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</si>
  <si>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</si>
  <si>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</si>
  <si>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</si>
  <si>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</si>
  <si>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</si>
  <si>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</si>
  <si>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</si>
  <si>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</si>
  <si>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</si>
  <si>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</si>
  <si>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</si>
  <si>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</si>
  <si>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</si>
  <si>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</si>
  <si>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</si>
  <si>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</si>
  <si>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</si>
  <si>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</si>
  <si>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</si>
  <si>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</si>
  <si>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</si>
  <si>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</si>
  <si>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</si>
  <si>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</si>
  <si>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</si>
  <si>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</si>
  <si>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</si>
  <si>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</si>
  <si>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</si>
  <si>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</si>
  <si>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</si>
  <si>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</si>
  <si>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</si>
  <si>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</si>
  <si>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</si>
  <si>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</si>
  <si>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</si>
  <si>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</si>
  <si>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</si>
  <si>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</si>
  <si>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</si>
  <si>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</si>
  <si>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</si>
  <si>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</si>
  <si>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</si>
  <si>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</si>
  <si>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</si>
  <si>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</si>
  <si>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</si>
  <si>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</si>
  <si>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</si>
  <si>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</si>
  <si>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</si>
  <si>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</si>
  <si>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</si>
  <si>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</si>
  <si>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</si>
  <si>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</si>
  <si>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</si>
  <si>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</si>
  <si>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</si>
  <si>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</si>
  <si>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</si>
  <si>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</si>
  <si>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</si>
  <si>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</si>
  <si>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</si>
  <si>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</si>
  <si>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</si>
  <si>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</si>
  <si>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</si>
  <si>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</si>
  <si>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</si>
  <si>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</si>
  <si>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</si>
  <si>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</si>
  <si>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</si>
  <si>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</si>
  <si>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</si>
  <si>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</si>
  <si>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</si>
  <si>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</si>
  <si>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</si>
  <si>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</si>
  <si>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</si>
  <si>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</si>
  <si>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</si>
  <si>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</si>
  <si>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</si>
  <si>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</si>
  <si>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</si>
  <si>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</si>
  <si>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</si>
  <si>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</si>
  <si>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</si>
  <si>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</si>
  <si>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</si>
  <si>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</si>
  <si>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</si>
  <si>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</si>
  <si>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</si>
  <si>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</si>
  <si>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</si>
  <si>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</si>
  <si>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</si>
  <si>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</si>
  <si>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</si>
  <si>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</si>
  <si>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</si>
  <si>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</si>
  <si>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</si>
  <si>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</si>
  <si>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</si>
  <si>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</si>
  <si>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</si>
  <si>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</si>
  <si>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</si>
  <si>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</si>
  <si>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</si>
  <si>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</si>
  <si>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</si>
  <si>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</si>
  <si>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</si>
  <si>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</si>
  <si>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</si>
  <si>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</si>
  <si>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</si>
  <si>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</si>
  <si>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</si>
  <si>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</si>
  <si>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</si>
  <si>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</si>
  <si>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</si>
  <si>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</si>
  <si>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</si>
  <si>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</si>
  <si>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</si>
  <si>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</si>
  <si>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</si>
  <si>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</si>
  <si>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</si>
  <si>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</si>
  <si>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</si>
  <si>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</si>
  <si>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</si>
  <si>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</si>
  <si>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</si>
  <si>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</si>
  <si>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</si>
  <si>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</si>
  <si>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</si>
  <si>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</si>
  <si>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</si>
  <si>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</si>
  <si>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</si>
  <si>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</si>
  <si>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</si>
  <si>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</si>
  <si>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</si>
  <si>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</si>
  <si>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</si>
  <si>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</si>
  <si>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</si>
  <si>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</si>
  <si>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</si>
  <si>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</si>
  <si>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</si>
  <si>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</si>
  <si>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</si>
  <si>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</si>
  <si>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</si>
  <si>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</si>
  <si>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</si>
  <si>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</si>
  <si>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</si>
  <si>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</si>
  <si>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</si>
  <si>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</si>
  <si>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</si>
  <si>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</si>
  <si>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</si>
  <si>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</si>
  <si>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</si>
  <si>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</si>
  <si>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</si>
  <si>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</si>
  <si>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</si>
  <si>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</si>
  <si>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</si>
  <si>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</si>
  <si>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</si>
  <si>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</si>
  <si>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</si>
  <si>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</si>
  <si>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</si>
  <si>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</si>
  <si>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</si>
  <si>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</si>
  <si>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</si>
  <si>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</si>
  <si>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</si>
  <si>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</si>
  <si>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</si>
  <si>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</si>
  <si>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</si>
  <si>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</si>
  <si>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</si>
  <si>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</si>
  <si>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</si>
  <si>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</si>
  <si>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</si>
  <si>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</si>
  <si>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</si>
  <si>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</si>
  <si>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</si>
  <si>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</si>
  <si>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</si>
  <si>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</si>
  <si>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</si>
  <si>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</si>
  <si>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</si>
  <si>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</si>
  <si>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</si>
  <si>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</si>
  <si>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</si>
  <si>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</si>
  <si>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</si>
  <si>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</si>
  <si>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</si>
  <si>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</si>
  <si>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</si>
  <si>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</si>
  <si>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</si>
  <si>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</si>
  <si>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</si>
  <si>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</si>
  <si>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</si>
  <si>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</si>
  <si>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</si>
  <si>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</si>
  <si>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</si>
  <si>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</si>
  <si>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</si>
  <si>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</si>
  <si>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</si>
  <si>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</si>
  <si>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</si>
  <si>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</si>
  <si>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</si>
  <si>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</si>
  <si>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</si>
  <si>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</si>
  <si>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</si>
  <si>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</si>
  <si>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</si>
  <si>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</si>
  <si>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</si>
  <si>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</si>
  <si>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</si>
  <si>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</si>
  <si>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</si>
  <si>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</si>
  <si>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</si>
  <si>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</si>
  <si>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</si>
  <si>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</si>
  <si>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</si>
  <si>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</si>
  <si>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</si>
  <si>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</si>
  <si>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</si>
  <si>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</si>
  <si>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</si>
  <si>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</si>
  <si>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</si>
  <si>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</si>
  <si>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</si>
  <si>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</si>
  <si>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</si>
  <si>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</si>
  <si>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</si>
  <si>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</si>
  <si>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</si>
  <si>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</si>
  <si>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</si>
  <si>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</si>
  <si>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</si>
  <si>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</si>
  <si>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</si>
  <si>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</si>
  <si>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</si>
  <si>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</si>
  <si>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</si>
  <si>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</si>
  <si>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</si>
  <si>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</si>
  <si>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</si>
  <si>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</si>
  <si>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</si>
  <si>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</si>
  <si>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</si>
  <si>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</si>
  <si>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</si>
  <si>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</si>
  <si>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</si>
  <si>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</si>
  <si>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</si>
  <si>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</si>
  <si>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</si>
  <si>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</si>
  <si>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</si>
  <si>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</si>
  <si>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</si>
  <si>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</si>
  <si>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</si>
  <si>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</si>
  <si>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</si>
  <si>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</si>
  <si>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</si>
  <si>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</si>
  <si>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</si>
  <si>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</si>
  <si>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</si>
  <si>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</si>
  <si>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</si>
  <si>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</si>
  <si>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</si>
  <si>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</si>
  <si>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</si>
  <si>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</si>
  <si>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</si>
  <si>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</si>
  <si>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</si>
  <si>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</si>
  <si>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</si>
  <si>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</si>
  <si>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</si>
  <si>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</si>
  <si>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</si>
  <si>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</si>
  <si>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</si>
  <si>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</si>
  <si>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</si>
  <si>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</si>
  <si>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</si>
  <si>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</si>
  <si>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</si>
  <si>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</si>
  <si>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</si>
  <si>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</si>
  <si>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</si>
  <si>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</si>
  <si>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</si>
  <si>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</si>
  <si>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</si>
  <si>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</si>
  <si>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</si>
  <si>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</si>
  <si>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</si>
  <si>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</si>
  <si>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</si>
  <si>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</si>
  <si>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</si>
  <si>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</si>
  <si>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</si>
  <si>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</si>
  <si>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</si>
  <si>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</si>
  <si>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</si>
  <si>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</si>
  <si>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</si>
  <si>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</si>
  <si>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</si>
  <si>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</si>
  <si>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</si>
  <si>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</si>
  <si>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</si>
  <si>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</si>
  <si>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</si>
  <si>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</si>
  <si>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</si>
  <si>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</si>
  <si>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</si>
  <si>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</si>
  <si>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</si>
  <si>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</si>
  <si>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</si>
  <si>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</si>
  <si>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</si>
  <si>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</si>
  <si>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</si>
  <si>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</si>
  <si>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</si>
  <si>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</si>
  <si>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</si>
  <si>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</si>
  <si>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</si>
  <si>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</si>
  <si>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</si>
  <si>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</si>
  <si>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</si>
  <si>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</si>
  <si>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</si>
  <si>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</si>
  <si>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</si>
  <si>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</si>
  <si>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</si>
  <si>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</si>
  <si>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</si>
  <si>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</si>
  <si>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</si>
  <si>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</si>
  <si>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</si>
  <si>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</si>
  <si>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</si>
  <si>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</si>
  <si>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</si>
  <si>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</si>
  <si>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</si>
  <si>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</si>
  <si>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</si>
  <si>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</si>
  <si>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</si>
  <si>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</si>
  <si>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</si>
  <si>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</si>
  <si>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</si>
  <si>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</si>
  <si>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</si>
  <si>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</si>
  <si>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</si>
  <si>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</si>
  <si>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</si>
  <si>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</si>
  <si>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</si>
  <si>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</si>
  <si>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</si>
  <si>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</si>
  <si>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</si>
  <si>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</si>
  <si>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</si>
  <si>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</si>
  <si>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</si>
  <si>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</si>
  <si>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</si>
  <si>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</si>
  <si>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</si>
  <si>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</si>
  <si>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</si>
  <si>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</si>
  <si>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</si>
  <si>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</si>
  <si>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</si>
  <si>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</si>
  <si>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</si>
  <si>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</si>
  <si>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</si>
  <si>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</si>
  <si>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</si>
  <si>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</si>
  <si>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</si>
  <si>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</si>
  <si>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</si>
  <si>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</si>
  <si>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</si>
  <si>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</si>
  <si>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</si>
  <si>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</si>
  <si>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</si>
  <si>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</si>
  <si>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</si>
  <si>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</si>
  <si>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</si>
  <si>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</si>
  <si>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</si>
  <si>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</si>
  <si>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</si>
  <si>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</si>
  <si>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</si>
  <si>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</si>
  <si>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</si>
  <si>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</si>
  <si>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</si>
  <si>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</si>
  <si>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</si>
  <si>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</si>
  <si>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</si>
  <si>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</si>
  <si>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</si>
  <si>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</si>
  <si>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</si>
  <si>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</si>
  <si>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</si>
  <si>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</si>
  <si>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</si>
  <si>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</si>
  <si>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</si>
  <si>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</si>
  <si>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</si>
  <si>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</si>
  <si>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</si>
  <si>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</si>
  <si>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</si>
  <si>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</si>
  <si>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</si>
  <si>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</si>
  <si>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</si>
  <si>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</si>
  <si>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</si>
  <si>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</si>
  <si>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</si>
  <si>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</si>
  <si>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</si>
  <si>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</si>
  <si>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</si>
  <si>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</si>
  <si>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</si>
  <si>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</si>
  <si>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</si>
  <si>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</si>
  <si>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</si>
  <si>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</si>
  <si>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</si>
  <si>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</si>
  <si>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</si>
  <si>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</si>
  <si>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</si>
  <si>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</si>
  <si>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</si>
  <si>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</si>
  <si>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</si>
  <si>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</si>
  <si>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</si>
  <si>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</si>
  <si>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</si>
  <si>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</si>
  <si>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</si>
  <si>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</si>
  <si>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</si>
  <si>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</si>
  <si>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</si>
  <si>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</si>
  <si>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</si>
  <si>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</si>
  <si>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</si>
  <si>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</si>
  <si>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</si>
  <si>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</si>
  <si>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</si>
  <si>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</si>
  <si>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</si>
  <si>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</si>
  <si>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</si>
  <si>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</si>
  <si>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</si>
  <si>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</si>
  <si>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</si>
  <si>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</si>
  <si>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</si>
  <si>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</si>
  <si>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</si>
  <si>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</si>
  <si>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</si>
  <si>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</si>
  <si>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</si>
  <si>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</si>
  <si>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</si>
  <si>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</si>
  <si>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</si>
  <si>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</si>
  <si>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</si>
  <si>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</si>
  <si>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</si>
  <si>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</si>
  <si>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</si>
  <si>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</si>
  <si>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</si>
  <si>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</si>
  <si>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</si>
  <si>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</si>
  <si>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</si>
  <si>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</si>
  <si>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</si>
  <si>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</si>
  <si>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</si>
  <si>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</si>
  <si>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</si>
  <si>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</si>
  <si>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</si>
  <si>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</si>
  <si>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</si>
  <si>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</si>
  <si>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</si>
  <si>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</si>
  <si>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</si>
  <si>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</si>
  <si>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</si>
  <si>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</si>
  <si>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</si>
  <si>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</si>
  <si>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</si>
  <si>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</si>
  <si>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</si>
  <si>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</si>
  <si>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</si>
  <si>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</si>
  <si>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</si>
  <si>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</si>
  <si>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</si>
  <si>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</si>
  <si>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</si>
  <si>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</si>
  <si>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</si>
  <si>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</si>
  <si>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</si>
  <si>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</si>
  <si>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</si>
  <si>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</si>
  <si>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</si>
  <si>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</si>
  <si>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</si>
  <si>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</si>
  <si>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</si>
  <si>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</si>
  <si>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</si>
  <si>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</si>
  <si>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</si>
  <si>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</si>
  <si>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</si>
  <si>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</si>
  <si>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</si>
  <si>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</si>
  <si>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</si>
  <si>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</si>
  <si>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</si>
  <si>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</si>
  <si>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</si>
  <si>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</si>
  <si>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</si>
  <si>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</si>
  <si>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</si>
  <si>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</si>
  <si>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</si>
  <si>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</si>
  <si>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</si>
  <si>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</si>
  <si>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</si>
  <si>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</si>
  <si>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</si>
  <si>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</si>
  <si>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</si>
  <si>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</si>
  <si>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</si>
  <si>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</si>
  <si>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</si>
  <si>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</si>
  <si>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</si>
  <si>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</si>
  <si>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</si>
  <si>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</si>
  <si>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</si>
  <si>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</si>
  <si>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</si>
  <si>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</si>
  <si>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</si>
  <si>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</si>
  <si>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</si>
  <si>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</si>
  <si>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</si>
  <si>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</si>
  <si>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</si>
  <si>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</si>
  <si>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</si>
  <si>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</si>
  <si>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</si>
  <si>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</si>
  <si>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</si>
  <si>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</si>
  <si>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</si>
  <si>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</si>
  <si>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</si>
  <si>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</si>
  <si>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</si>
  <si>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</si>
  <si>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</si>
  <si>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</si>
  <si>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</si>
  <si>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</si>
  <si>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</si>
  <si>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</si>
  <si>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</si>
  <si>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</si>
  <si>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</si>
  <si>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</si>
  <si>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</si>
  <si>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</si>
  <si>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</si>
  <si>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</si>
  <si>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</si>
  <si>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</si>
  <si>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</si>
  <si>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</si>
  <si>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</si>
  <si>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</si>
  <si>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</si>
  <si>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</si>
  <si>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</si>
  <si>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</si>
  <si>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</si>
  <si>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</si>
  <si>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</si>
  <si>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</si>
  <si>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</si>
  <si>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</si>
  <si>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</si>
  <si>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</si>
  <si>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</si>
  <si>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</si>
  <si>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</si>
  <si>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</si>
  <si>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</si>
  <si>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</si>
  <si>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</si>
  <si>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</si>
  <si>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</si>
  <si>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</si>
  <si>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</si>
  <si>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</si>
  <si>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</si>
  <si>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</si>
  <si>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</si>
  <si>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</si>
  <si>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</si>
  <si>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</si>
  <si>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</si>
  <si>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</si>
  <si>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</si>
  <si>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</si>
  <si>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</si>
  <si>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</si>
  <si>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</si>
  <si>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</si>
  <si>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</si>
  <si>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</si>
  <si>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</si>
  <si>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</si>
  <si>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</si>
  <si>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</si>
  <si>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</si>
  <si>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</si>
  <si>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</si>
  <si>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</si>
  <si>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</si>
  <si>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</si>
  <si>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</si>
  <si>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</si>
  <si>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</si>
  <si>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</si>
  <si>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</si>
  <si>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</si>
  <si>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</si>
  <si>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</si>
  <si>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</si>
  <si>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</si>
  <si>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</si>
  <si>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</si>
  <si>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</si>
  <si>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</si>
  <si>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</si>
  <si>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</si>
  <si>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</si>
  <si>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</si>
  <si>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</si>
  <si>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</si>
  <si>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</si>
  <si>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</si>
  <si>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</si>
  <si>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</si>
  <si>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</si>
  <si>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</si>
  <si>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</si>
  <si>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</si>
  <si>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</si>
  <si>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</si>
  <si>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</si>
  <si>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</si>
  <si>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</si>
  <si>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</si>
  <si>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</si>
  <si>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</si>
  <si>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</si>
  <si>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</si>
  <si>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</si>
  <si>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</si>
  <si>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</si>
  <si>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</si>
  <si>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</si>
  <si>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</si>
  <si>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</si>
  <si>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</si>
  <si>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</si>
  <si>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</si>
  <si>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</si>
  <si>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</si>
  <si>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</si>
  <si>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</si>
  <si>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</si>
  <si>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</si>
  <si>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</si>
  <si>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</si>
  <si>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</si>
  <si>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</si>
  <si>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</si>
  <si>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</si>
  <si>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</si>
  <si>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</si>
  <si>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</si>
  <si>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</si>
  <si>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</si>
  <si>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</si>
  <si>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</si>
  <si>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</si>
  <si>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</si>
  <si>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</si>
  <si>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</si>
  <si>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</si>
  <si>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</si>
  <si>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</si>
  <si>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</si>
  <si>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</si>
  <si>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</si>
  <si>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</si>
  <si>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</si>
  <si>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</si>
  <si>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</si>
  <si>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</si>
  <si>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</si>
  <si>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</si>
  <si>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</si>
  <si>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</si>
  <si>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</si>
  <si>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</si>
  <si>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</si>
  <si>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</si>
  <si>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</si>
  <si>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</si>
  <si>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</si>
  <si>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</si>
  <si>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</si>
  <si>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</si>
  <si>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</si>
  <si>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</si>
  <si>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</si>
  <si>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</si>
  <si>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</si>
  <si>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</si>
  <si>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</si>
  <si>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</si>
  <si>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</si>
  <si>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</si>
  <si>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</si>
  <si>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</si>
  <si>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</si>
  <si>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</si>
  <si>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</si>
  <si>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</si>
  <si>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</si>
  <si>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</si>
  <si>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</si>
  <si>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</si>
  <si>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</si>
  <si>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</si>
  <si>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</si>
  <si>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</si>
  <si>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</si>
  <si>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</si>
  <si>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</si>
  <si>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</si>
  <si>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</si>
  <si>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</si>
  <si>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</si>
  <si>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</si>
  <si>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</si>
  <si>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</si>
  <si>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</si>
  <si>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</si>
  <si>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</si>
  <si>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</si>
  <si>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</si>
  <si>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</si>
  <si>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</si>
  <si>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</si>
  <si>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</si>
  <si>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</si>
  <si>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</si>
  <si>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</si>
  <si>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</si>
  <si>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</si>
  <si>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</si>
  <si>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</si>
  <si>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</si>
  <si>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</si>
  <si>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</si>
  <si>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</si>
  <si>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</si>
  <si>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</si>
  <si>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</si>
  <si>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</si>
  <si>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</si>
  <si>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</si>
  <si>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</si>
  <si>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</si>
  <si>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</si>
  <si>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</si>
  <si>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</si>
  <si>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</si>
  <si>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</si>
  <si>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</si>
  <si>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</si>
  <si>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</si>
  <si>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</si>
  <si>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</si>
  <si>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</si>
  <si>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</si>
  <si>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</si>
  <si>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</si>
  <si>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</si>
  <si>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</si>
  <si>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</si>
  <si>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</si>
  <si>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</si>
  <si>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</si>
  <si>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</si>
  <si>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</si>
  <si>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</si>
  <si>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</si>
  <si>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</si>
  <si>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</si>
  <si>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</si>
  <si>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</si>
  <si>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</si>
  <si>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</si>
  <si>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</si>
  <si>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</si>
  <si>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</si>
  <si>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</si>
  <si>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</si>
  <si>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</si>
  <si>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</si>
  <si>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</si>
  <si>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</si>
  <si>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</si>
  <si>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</si>
  <si>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</si>
  <si>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</si>
  <si>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</si>
  <si>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</si>
  <si>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</si>
  <si>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</si>
  <si>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</si>
  <si>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</si>
  <si>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</si>
  <si>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</si>
  <si>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</si>
  <si>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</si>
  <si>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</si>
  <si>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</si>
  <si>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</si>
  <si>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</si>
  <si>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</si>
  <si>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</si>
  <si>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</si>
  <si>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</si>
  <si>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</si>
  <si>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</si>
  <si>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</si>
  <si>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</si>
  <si>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</si>
  <si>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</si>
  <si>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</si>
  <si>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</si>
  <si>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</si>
  <si>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</si>
  <si>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</si>
  <si>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</si>
  <si>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</si>
  <si>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</si>
  <si>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</si>
  <si>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</si>
  <si>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</si>
  <si>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</si>
  <si>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</si>
  <si>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</si>
  <si>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</si>
  <si>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</si>
  <si>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</si>
  <si>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</si>
  <si>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</si>
  <si>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</si>
  <si>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</si>
  <si>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</si>
  <si>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</si>
  <si>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</si>
  <si>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</si>
  <si>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</si>
  <si>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</si>
  <si>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</si>
  <si>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</si>
  <si>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</si>
  <si>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</si>
  <si>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</si>
  <si>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</si>
  <si>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</si>
  <si>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</si>
  <si>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</si>
  <si>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</si>
  <si>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</si>
  <si>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</si>
  <si>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</si>
  <si>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</si>
  <si>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</si>
  <si>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</si>
  <si>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</si>
  <si>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</si>
  <si>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</si>
  <si>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</si>
  <si>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</si>
  <si>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</si>
  <si>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</si>
  <si>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</si>
  <si>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</si>
  <si>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</si>
  <si>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</si>
  <si>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</si>
  <si>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</si>
  <si>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</si>
  <si>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</si>
  <si>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</si>
  <si>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</si>
  <si>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</si>
  <si>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</si>
  <si>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</si>
  <si>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</si>
  <si>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</si>
  <si>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</si>
  <si>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</si>
  <si>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</si>
  <si>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</si>
  <si>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</si>
  <si>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</si>
  <si>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</si>
  <si>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</si>
  <si>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</si>
  <si>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</si>
  <si>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</si>
  <si>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</si>
  <si>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</si>
  <si>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</si>
  <si>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</si>
  <si>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</si>
  <si>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</si>
  <si>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</si>
  <si>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</si>
  <si>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</si>
  <si>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</si>
  <si>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</si>
  <si>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</si>
  <si>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</si>
  <si>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</si>
  <si>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</si>
  <si>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</si>
  <si>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</si>
  <si>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</si>
  <si>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</si>
  <si>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</si>
  <si>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</si>
  <si>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</si>
  <si>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</si>
  <si>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</si>
  <si>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</si>
  <si>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</si>
  <si>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</si>
  <si>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</si>
  <si>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</si>
  <si>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</si>
  <si>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</si>
  <si>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</si>
  <si>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</si>
  <si>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</si>
  <si>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</si>
  <si>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</si>
  <si>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</si>
  <si>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</si>
  <si>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</si>
  <si>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</si>
  <si>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</si>
  <si>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</si>
  <si>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</si>
  <si>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</si>
  <si>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</si>
  <si>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</si>
  <si>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</si>
  <si>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</si>
  <si>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</si>
  <si>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</si>
  <si>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</si>
  <si>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</si>
  <si>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</si>
  <si>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</si>
  <si>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</si>
  <si>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</si>
  <si>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</si>
  <si>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</si>
  <si>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</si>
  <si>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</si>
  <si>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</si>
  <si>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</si>
  <si>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</si>
  <si>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</si>
  <si>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</si>
  <si>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</si>
  <si>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</si>
  <si>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</si>
  <si>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</si>
  <si>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</si>
  <si>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</si>
  <si>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</si>
  <si>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</si>
  <si>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</si>
  <si>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</si>
  <si>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</si>
  <si>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</si>
  <si>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</si>
  <si>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</si>
  <si>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</si>
  <si>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</si>
  <si>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</si>
  <si>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</si>
  <si>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</si>
  <si>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</si>
  <si>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</si>
  <si>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</si>
  <si>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</si>
  <si>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</si>
  <si>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</si>
  <si>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</si>
  <si>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</si>
  <si>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</si>
  <si>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</si>
  <si>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</si>
  <si>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</si>
  <si>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</si>
  <si>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</si>
  <si>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</si>
  <si>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</si>
  <si>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</si>
  <si>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</si>
  <si>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</si>
  <si>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</si>
  <si>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</si>
  <si>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</si>
  <si>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</si>
  <si>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</si>
  <si>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</si>
  <si>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</si>
  <si>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</si>
  <si>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</si>
  <si>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</si>
  <si>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</si>
  <si>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</si>
  <si>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</si>
  <si>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</si>
  <si>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</si>
  <si>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</si>
  <si>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</si>
  <si>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</si>
  <si>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</si>
  <si>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</si>
  <si>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</si>
  <si>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</si>
  <si>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</si>
  <si>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</si>
  <si>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</si>
  <si>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</si>
  <si>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</si>
  <si>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</si>
  <si>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</si>
  <si>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</si>
  <si>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</si>
  <si>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</si>
  <si>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</si>
  <si>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</si>
  <si>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</si>
  <si>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</si>
  <si>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</si>
  <si>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</si>
  <si>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</si>
  <si>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</si>
  <si>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</si>
  <si>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</si>
  <si>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</si>
  <si>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</si>
  <si>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</si>
  <si>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</si>
  <si>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</si>
  <si>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</si>
  <si>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</si>
  <si>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</si>
  <si>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</si>
  <si>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</si>
  <si>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</si>
  <si>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</si>
  <si>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</si>
  <si>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</si>
  <si>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</si>
  <si>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</si>
  <si>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</si>
  <si>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</si>
  <si>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</si>
  <si>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</si>
  <si>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</si>
  <si>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</si>
  <si>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</si>
  <si>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</si>
  <si>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</si>
  <si>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</si>
  <si>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</si>
  <si>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</si>
  <si>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</si>
  <si>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</si>
  <si>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</si>
  <si>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</si>
  <si>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</si>
  <si>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</si>
  <si>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</si>
  <si>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</si>
  <si>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</si>
  <si>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</si>
  <si>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</si>
  <si>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</si>
  <si>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</si>
  <si>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</si>
  <si>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</si>
  <si>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</si>
  <si>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</si>
  <si>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</si>
  <si>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</si>
  <si>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</si>
  <si>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</si>
  <si>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</si>
  <si>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</si>
  <si>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</si>
  <si>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</si>
  <si>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</si>
  <si>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</si>
  <si>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</si>
  <si>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</si>
  <si>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</si>
  <si>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</si>
  <si>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</si>
  <si>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</si>
  <si>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</si>
  <si>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</si>
  <si>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</si>
  <si>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</si>
  <si>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</si>
  <si>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</si>
  <si>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</si>
  <si>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</si>
  <si>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</si>
  <si>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</si>
  <si>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</si>
  <si>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</si>
  <si>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</si>
  <si>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</si>
  <si>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</si>
  <si>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</si>
  <si>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</si>
  <si>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</si>
  <si>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</si>
  <si>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</si>
  <si>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</si>
  <si>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</si>
  <si>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</si>
  <si>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</si>
  <si>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</si>
  <si>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</si>
  <si>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</si>
  <si>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</si>
  <si>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</si>
  <si>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</si>
  <si>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</si>
  <si>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</si>
  <si>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</si>
  <si>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</si>
  <si>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</si>
  <si>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</si>
  <si>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</si>
  <si>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</si>
  <si>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</si>
  <si>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</si>
  <si>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</si>
  <si>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</si>
  <si>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</si>
  <si>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</si>
  <si>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</si>
  <si>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</si>
  <si>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</si>
  <si>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</si>
  <si>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</si>
  <si>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</si>
  <si>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</si>
  <si>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</si>
  <si>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</si>
  <si>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</si>
  <si>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</si>
  <si>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</si>
  <si>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</si>
  <si>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</si>
  <si>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</si>
  <si>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</si>
  <si>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</si>
  <si>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</si>
  <si>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</si>
  <si>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</si>
  <si>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</si>
  <si>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</si>
  <si>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</si>
  <si>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</si>
  <si>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</si>
  <si>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</si>
  <si>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</si>
  <si>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</si>
  <si>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</si>
  <si>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</si>
  <si>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</si>
  <si>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</si>
  <si>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</si>
  <si>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</si>
  <si>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</si>
  <si>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</si>
  <si>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</si>
  <si>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</si>
  <si>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</si>
  <si>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</si>
  <si>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</si>
  <si>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</si>
  <si>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</si>
  <si>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</si>
  <si>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</si>
  <si>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</si>
  <si>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</si>
  <si>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</si>
  <si>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</si>
  <si>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</si>
  <si>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</si>
  <si>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</si>
  <si>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</si>
  <si>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</si>
  <si>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</si>
  <si>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</si>
  <si>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</si>
  <si>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</si>
  <si>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</si>
  <si>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</si>
  <si>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</si>
  <si>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</si>
  <si>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</si>
  <si>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</si>
  <si>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</si>
  <si>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</si>
  <si>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</si>
  <si>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</si>
  <si>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</si>
  <si>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</si>
  <si>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</si>
  <si>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</si>
  <si>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</si>
  <si>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</si>
  <si>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</si>
  <si>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</si>
  <si>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</si>
  <si>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</si>
  <si>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</si>
  <si>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</si>
  <si>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</si>
  <si>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Fund 10 General - Audit Adjusment </t>
  </si>
  <si>
    <t>Fund 70 Trust - Interest Income from Prior Year</t>
  </si>
  <si>
    <t xml:space="preserve">Agency Funds </t>
  </si>
  <si>
    <t>Mont Vernon School District</t>
  </si>
  <si>
    <t>Agency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</si>
</sst>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568"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367</v>
      </c>
      <c r="C2" s="21">
        <v>367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708408.83</v>
      </c>
      <c r="G9" s="18"/>
      <c r="H9" s="18"/>
      <c r="I9" s="18"/>
      <c r="J9" s="67">
        <f>SUM(I439)</f>
        <v>11954.28</v>
      </c>
      <c r="K9" s="24" t="s">
        <v>288</v>
      </c>
      <c r="L9" s="24" t="s">
        <v>288</v>
      </c>
      <c r="M9" s="8"/>
      <c r="N9" s="266"/>
    </row>
    <row r="10" spans="1:14" s="3" customFormat="1" ht="12.2" customHeight="1" x14ac:dyDescent="0.15">
      <c r="A10" s="1" t="s">
        <v>562</v>
      </c>
      <c r="B10" s="2" t="s">
        <v>289</v>
      </c>
      <c r="C10" s="6">
        <v>2</v>
      </c>
      <c r="D10" s="2" t="s">
        <v>428</v>
      </c>
      <c r="E10" s="6">
        <v>110</v>
      </c>
      <c r="F10" s="18">
        <v>0</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22956.73</v>
      </c>
      <c r="G12" s="18">
        <v>9647.9599999999991</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832.87</v>
      </c>
      <c r="G13" s="18">
        <v>2711.25</v>
      </c>
      <c r="H13" s="18">
        <v>33104.69</v>
      </c>
      <c r="I13" s="18"/>
      <c r="J13" s="67">
        <f>SUM(I442)</f>
        <v>271035.17</v>
      </c>
      <c r="K13" s="24" t="s">
        <v>288</v>
      </c>
      <c r="L13" s="24" t="s">
        <v>288</v>
      </c>
      <c r="M13" s="8"/>
      <c r="N13" s="266"/>
    </row>
    <row r="14" spans="1:14" s="3" customFormat="1" ht="12.2" customHeight="1" x14ac:dyDescent="0.15">
      <c r="A14" s="1" t="s">
        <v>565</v>
      </c>
      <c r="B14" s="2" t="s">
        <v>289</v>
      </c>
      <c r="C14" s="6">
        <v>6</v>
      </c>
      <c r="D14" s="2" t="s">
        <v>428</v>
      </c>
      <c r="E14" s="6">
        <v>150</v>
      </c>
      <c r="F14" s="18">
        <v>0</v>
      </c>
      <c r="G14" s="18">
        <v>0</v>
      </c>
      <c r="H14" s="18">
        <v>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732198.42999999993</v>
      </c>
      <c r="G19" s="41">
        <f>SUM(G9:G18)</f>
        <v>12359.21</v>
      </c>
      <c r="H19" s="41">
        <f>SUM(H9:H18)</f>
        <v>33104.69</v>
      </c>
      <c r="I19" s="41">
        <f>SUM(I9:I18)</f>
        <v>0</v>
      </c>
      <c r="J19" s="41">
        <f>SUM(J9:J18)</f>
        <v>282989.45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32604.69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f>2123.21+61719.55+17373.79</f>
        <v>81216.55</v>
      </c>
      <c r="G23" s="18">
        <v>2952.45</v>
      </c>
      <c r="H23" s="18">
        <v>0</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25691.69</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6647.53</v>
      </c>
      <c r="G28" s="18">
        <v>0</v>
      </c>
      <c r="H28" s="18">
        <v>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6942.68</v>
      </c>
      <c r="G29" s="18">
        <v>0</v>
      </c>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400.48</v>
      </c>
      <c r="G30" s="18">
        <v>2682.34</v>
      </c>
      <c r="H30" s="18">
        <v>500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SUM(I451)</f>
        <v>11954.28</v>
      </c>
      <c r="K31" s="24" t="s">
        <v>288</v>
      </c>
      <c r="L31" s="24" t="s">
        <v>288</v>
      </c>
      <c r="M31" s="8"/>
      <c r="N31" s="266"/>
    </row>
    <row r="32" spans="1:14" s="3" customFormat="1" ht="12.2" customHeight="1" thickTop="1" x14ac:dyDescent="0.15">
      <c r="A32" s="38" t="s">
        <v>406</v>
      </c>
      <c r="B32" s="39" t="s">
        <v>289</v>
      </c>
      <c r="C32" s="40">
        <v>22</v>
      </c>
      <c r="D32" s="39" t="s">
        <v>429</v>
      </c>
      <c r="E32" s="39"/>
      <c r="F32" s="41">
        <f>SUM(F22:F31)</f>
        <v>120898.93000000001</v>
      </c>
      <c r="G32" s="41">
        <f>SUM(G22:G31)</f>
        <v>5634.79</v>
      </c>
      <c r="H32" s="41">
        <f>SUM(H22:H31)</f>
        <v>33104.69</v>
      </c>
      <c r="I32" s="41">
        <f>SUM(I22:I31)</f>
        <v>0</v>
      </c>
      <c r="J32" s="41">
        <f>SUM(J22:J31)</f>
        <v>11954.28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13974.77-7250.35</f>
        <v>6724.42</v>
      </c>
      <c r="H48" s="18">
        <v>0</v>
      </c>
      <c r="I48" s="18"/>
      <c r="J48" s="13">
        <f>SUM(I459)</f>
        <v>271035.17</v>
      </c>
      <c r="K48" s="24" t="s">
        <v>288</v>
      </c>
      <c r="L48" s="24" t="s">
        <v>288</v>
      </c>
      <c r="M48" s="8"/>
      <c r="N48" s="266"/>
    </row>
    <row r="49" spans="1:14" s="3" customFormat="1" ht="12.2" customHeight="1" x14ac:dyDescent="0.15">
      <c r="A49" s="1" t="s">
        <v>859</v>
      </c>
      <c r="B49" s="2" t="s">
        <v>289</v>
      </c>
      <c r="C49" s="6">
        <v>34</v>
      </c>
      <c r="D49" s="2"/>
      <c r="E49" s="6">
        <v>753</v>
      </c>
      <c r="F49" s="18">
        <v>47480.22</v>
      </c>
      <c r="G49" s="18">
        <v>0</v>
      </c>
      <c r="H49" s="18">
        <v>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f>692516.05-97480.22-2123.21-61719.55-17373.79</f>
        <v>513819.28000000009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611299.50000000012</v>
      </c>
      <c r="G51" s="41">
        <f>SUM(G35:G50)</f>
        <v>6724.42</v>
      </c>
      <c r="H51" s="41">
        <f>SUM(H35:H50)</f>
        <v>0</v>
      </c>
      <c r="I51" s="41">
        <f>SUM(I35:I50)</f>
        <v>0</v>
      </c>
      <c r="J51" s="41">
        <f>SUM(J35:J50)</f>
        <v>271035.17</v>
      </c>
      <c r="K51" s="45" t="s">
        <v>288</v>
      </c>
      <c r="L51" s="45" t="s">
        <v>288</v>
      </c>
      <c r="N51" s="264"/>
    </row>
    <row r="52" spans="1:14" s="3" customFormat="1" ht="12.2" customHeight="1" thickTop="1" x14ac:dyDescent="0.15">
      <c r="A52" s="38" t="s">
        <v>455</v>
      </c>
      <c r="B52" s="39" t="s">
        <v>289</v>
      </c>
      <c r="C52" s="6">
        <v>37</v>
      </c>
      <c r="D52" s="39" t="s">
        <v>653</v>
      </c>
      <c r="E52" s="39"/>
      <c r="F52" s="41">
        <f>F51+F32</f>
        <v>732198.43000000017</v>
      </c>
      <c r="G52" s="41">
        <f>G51+G32</f>
        <v>12359.21</v>
      </c>
      <c r="H52" s="41">
        <f>H51+H32</f>
        <v>33104.69</v>
      </c>
      <c r="I52" s="41">
        <f>I51+I32</f>
        <v>0</v>
      </c>
      <c r="J52" s="41">
        <f>J51+J32</f>
        <v>282989.45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3684620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3684620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6630.9</v>
      </c>
      <c r="G96" s="18"/>
      <c r="H96" s="18"/>
      <c r="I96" s="18"/>
      <c r="J96" s="18">
        <v>5797.28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51790.41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1710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70</v>
      </c>
      <c r="G102" s="18"/>
      <c r="H102" s="18">
        <v>0</v>
      </c>
      <c r="I102" s="18"/>
      <c r="J102" s="18">
        <v>528</v>
      </c>
      <c r="K102" s="24" t="s">
        <v>288</v>
      </c>
      <c r="L102" s="24" t="s">
        <v>288</v>
      </c>
      <c r="M102" s="8"/>
      <c r="N102" s="266"/>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2990.45</v>
      </c>
      <c r="G109" s="18">
        <v>105.01</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378.28</v>
      </c>
      <c r="G110" s="18">
        <v>3.47</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11779.63</v>
      </c>
      <c r="G111" s="41">
        <f>SUM(G96:G110)</f>
        <v>51898.890000000007</v>
      </c>
      <c r="H111" s="41">
        <f>SUM(H96:H110)</f>
        <v>0</v>
      </c>
      <c r="I111" s="41">
        <f>SUM(I96:I110)</f>
        <v>0</v>
      </c>
      <c r="J111" s="41">
        <f>SUM(J96:J110)</f>
        <v>6325.28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3696399.63</v>
      </c>
      <c r="G112" s="41">
        <f>G60+G111</f>
        <v>51898.890000000007</v>
      </c>
      <c r="H112" s="41">
        <f>H60+H79+H94+H111</f>
        <v>0</v>
      </c>
      <c r="I112" s="41">
        <f>I60+I111</f>
        <v>0</v>
      </c>
      <c r="J112" s="41">
        <f>J60+J111</f>
        <v>6325.28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762022.05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339434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1101456.05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33417.230000000003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25095.29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975.48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58512.520000000004</v>
      </c>
      <c r="G136" s="41">
        <f>SUM(G123:G135)</f>
        <v>975.48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1159968.57</v>
      </c>
      <c r="G140" s="41">
        <f>G121+SUM(G136:G137)</f>
        <v>975.48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15068.78</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18734.03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23553.59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14981.37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57493.9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2309.41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2309.41</v>
      </c>
      <c r="G162" s="41">
        <f>SUM(G150:G161)</f>
        <v>14981.37</v>
      </c>
      <c r="H162" s="41">
        <f>SUM(H150:H161)</f>
        <v>114850.29999999999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2309.41</v>
      </c>
      <c r="G169" s="41">
        <f>G147+G162+SUM(G163:G168)</f>
        <v>14981.37</v>
      </c>
      <c r="H169" s="41">
        <f>H147+H162+SUM(H163:H168)</f>
        <v>114850.29999999999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4858677.6100000003</v>
      </c>
      <c r="G193" s="47">
        <f>G112+G140+G169+G192</f>
        <v>67855.740000000005</v>
      </c>
      <c r="H193" s="47">
        <f>H112+H140+H169+H192</f>
        <v>114850.29999999999</v>
      </c>
      <c r="I193" s="47">
        <f>I112+I140+I169+I192</f>
        <v>0</v>
      </c>
      <c r="J193" s="47">
        <f>J112+J140+J192</f>
        <v>56325.279999999999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1017522.08</v>
      </c>
      <c r="G197" s="18">
        <v>405629.23</v>
      </c>
      <c r="H197" s="18">
        <v>7334.94</v>
      </c>
      <c r="I197" s="18">
        <v>52288.46</v>
      </c>
      <c r="J197" s="18">
        <v>26487.52</v>
      </c>
      <c r="K197" s="18">
        <v>0</v>
      </c>
      <c r="L197" s="19">
        <f>SUM(F197:K197)</f>
        <v>1509262.23</v>
      </c>
      <c r="M197" s="8"/>
      <c r="N197" s="266"/>
    </row>
    <row r="198" spans="1:14" s="3" customFormat="1" ht="12.2" customHeight="1" x14ac:dyDescent="0.15">
      <c r="A198" s="1" t="s">
        <v>439</v>
      </c>
      <c r="B198" s="2" t="s">
        <v>341</v>
      </c>
      <c r="C198" s="2" t="s">
        <v>291</v>
      </c>
      <c r="D198" s="2" t="s">
        <v>431</v>
      </c>
      <c r="E198" s="6">
        <v>1200</v>
      </c>
      <c r="F198" s="18">
        <v>189854.82</v>
      </c>
      <c r="G198" s="18">
        <v>95364.53</v>
      </c>
      <c r="H198" s="18">
        <f>78515.02-45001.36+2123.21+61719.55</f>
        <v>97356.420000000013</v>
      </c>
      <c r="I198" s="18">
        <v>1404.81</v>
      </c>
      <c r="J198" s="18">
        <v>1757</v>
      </c>
      <c r="K198" s="18">
        <v>0</v>
      </c>
      <c r="L198" s="19">
        <f>SUM(F198:K198)</f>
        <v>385737.58</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9525.52</v>
      </c>
      <c r="G200" s="18">
        <v>1551.05</v>
      </c>
      <c r="H200" s="18">
        <v>0</v>
      </c>
      <c r="I200" s="18">
        <v>164.89</v>
      </c>
      <c r="J200" s="18">
        <v>0</v>
      </c>
      <c r="K200" s="18">
        <v>287.5</v>
      </c>
      <c r="L200" s="19">
        <f>SUM(F200:K200)</f>
        <v>11528.96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174158</v>
      </c>
      <c r="G202" s="18">
        <v>102392.44</v>
      </c>
      <c r="H202" s="18">
        <f>140347.18+5537.23+281.36+3502.18</f>
        <v>149667.94999999998</v>
      </c>
      <c r="I202" s="18">
        <v>5733.74</v>
      </c>
      <c r="J202" s="18">
        <v>0</v>
      </c>
      <c r="K202" s="18">
        <v>129</v>
      </c>
      <c r="L202" s="19">
        <f t="shared" ref="L202:L208" si="0">SUM(F202:K202)</f>
        <v>432081.13</v>
      </c>
      <c r="M202" s="8"/>
      <c r="N202" s="266"/>
    </row>
    <row r="203" spans="1:14" s="3" customFormat="1" ht="12.2" customHeight="1" x14ac:dyDescent="0.15">
      <c r="A203" s="1" t="s">
        <v>443</v>
      </c>
      <c r="B203" s="2" t="s">
        <v>341</v>
      </c>
      <c r="C203" s="2" t="s">
        <v>295</v>
      </c>
      <c r="D203" s="2" t="s">
        <v>431</v>
      </c>
      <c r="E203" s="6">
        <v>2200</v>
      </c>
      <c r="F203" s="18">
        <v>72575.45</v>
      </c>
      <c r="G203" s="18">
        <v>42968</v>
      </c>
      <c r="H203" s="18">
        <v>0</v>
      </c>
      <c r="I203" s="18">
        <v>10180.370000000001</v>
      </c>
      <c r="J203" s="18">
        <v>0</v>
      </c>
      <c r="K203" s="18">
        <v>0</v>
      </c>
      <c r="L203" s="19">
        <f t="shared" si="0"/>
        <v>125723.81999999999</v>
      </c>
      <c r="M203" s="8"/>
      <c r="N203" s="266"/>
    </row>
    <row r="204" spans="1:14" s="3" customFormat="1" ht="12.2" customHeight="1" x14ac:dyDescent="0.15">
      <c r="A204" s="1" t="s">
        <v>444</v>
      </c>
      <c r="B204" s="2" t="s">
        <v>341</v>
      </c>
      <c r="C204" s="2" t="s">
        <v>296</v>
      </c>
      <c r="D204" s="2" t="s">
        <v>431</v>
      </c>
      <c r="E204" s="6">
        <v>2300</v>
      </c>
      <c r="F204" s="18">
        <v>5026.75</v>
      </c>
      <c r="G204" s="18">
        <v>384.56</v>
      </c>
      <c r="H204" s="18">
        <v>186427.48</v>
      </c>
      <c r="I204" s="18">
        <v>39.979999999999997</v>
      </c>
      <c r="J204" s="18">
        <v>0</v>
      </c>
      <c r="K204" s="18">
        <v>3355.61</v>
      </c>
      <c r="L204" s="19">
        <f t="shared" si="0"/>
        <v>195234.38</v>
      </c>
      <c r="M204" s="8"/>
      <c r="N204" s="266"/>
    </row>
    <row r="205" spans="1:14" s="3" customFormat="1" ht="12.2" customHeight="1" x14ac:dyDescent="0.15">
      <c r="A205" s="1" t="s">
        <v>445</v>
      </c>
      <c r="B205" s="2" t="s">
        <v>341</v>
      </c>
      <c r="C205" s="2" t="s">
        <v>297</v>
      </c>
      <c r="D205" s="2" t="s">
        <v>431</v>
      </c>
      <c r="E205" s="6">
        <v>2400</v>
      </c>
      <c r="F205" s="18">
        <v>143617.92000000001</v>
      </c>
      <c r="G205" s="18">
        <v>80261.2</v>
      </c>
      <c r="H205" s="18">
        <v>5988.44</v>
      </c>
      <c r="I205" s="18">
        <v>4889.5600000000004</v>
      </c>
      <c r="J205" s="18">
        <v>659</v>
      </c>
      <c r="K205" s="18">
        <v>884</v>
      </c>
      <c r="L205" s="19">
        <f t="shared" si="0"/>
        <v>236300.12</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90702.07</v>
      </c>
      <c r="G207" s="18">
        <v>29758.42</v>
      </c>
      <c r="H207" s="18">
        <v>65736.94</v>
      </c>
      <c r="I207" s="18">
        <v>92013.2</v>
      </c>
      <c r="J207" s="18">
        <v>20937.2</v>
      </c>
      <c r="K207" s="18">
        <v>0</v>
      </c>
      <c r="L207" s="19">
        <f t="shared" si="0"/>
        <v>299147.83</v>
      </c>
      <c r="M207" s="8"/>
      <c r="N207" s="266"/>
    </row>
    <row r="208" spans="1:14" s="3" customFormat="1" ht="12.2" customHeight="1" x14ac:dyDescent="0.15">
      <c r="A208" s="1" t="s">
        <v>448</v>
      </c>
      <c r="B208" s="2" t="s">
        <v>341</v>
      </c>
      <c r="C208" s="2" t="s">
        <v>300</v>
      </c>
      <c r="D208" s="2" t="s">
        <v>431</v>
      </c>
      <c r="E208" s="6">
        <v>2700</v>
      </c>
      <c r="F208" s="18">
        <v>0</v>
      </c>
      <c r="G208" s="18">
        <v>0</v>
      </c>
      <c r="H208" s="18">
        <v>135751.32999999999</v>
      </c>
      <c r="I208" s="18">
        <v>0</v>
      </c>
      <c r="J208" s="18">
        <v>0</v>
      </c>
      <c r="K208" s="18">
        <v>0</v>
      </c>
      <c r="L208" s="19">
        <f t="shared" si="0"/>
        <v>135751.32999999999</v>
      </c>
      <c r="M208" s="8"/>
      <c r="N208" s="266"/>
    </row>
    <row r="209" spans="1:14" s="3" customFormat="1" ht="12.2" customHeight="1" x14ac:dyDescent="0.15">
      <c r="A209" s="1" t="s">
        <v>449</v>
      </c>
      <c r="B209" s="2" t="s">
        <v>341</v>
      </c>
      <c r="C209" s="2" t="s">
        <v>343</v>
      </c>
      <c r="D209" s="2" t="s">
        <v>431</v>
      </c>
      <c r="E209" s="6">
        <v>2800</v>
      </c>
      <c r="F209" s="18">
        <v>25858.06</v>
      </c>
      <c r="G209" s="18">
        <v>2273.7800000000002</v>
      </c>
      <c r="H209" s="18">
        <v>9514.52</v>
      </c>
      <c r="I209" s="18">
        <v>7236.52</v>
      </c>
      <c r="J209" s="18">
        <v>11062.61</v>
      </c>
      <c r="K209" s="18">
        <v>0</v>
      </c>
      <c r="L209" s="19">
        <f>SUM(F209:K209)</f>
        <v>55945.490000000005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1728840.67</v>
      </c>
      <c r="G211" s="41">
        <f t="shared" si="1"/>
        <v>760583.21000000008</v>
      </c>
      <c r="H211" s="41">
        <f t="shared" si="1"/>
        <v>657778.02</v>
      </c>
      <c r="I211" s="41">
        <f t="shared" si="1"/>
        <v>173951.52999999997</v>
      </c>
      <c r="J211" s="41">
        <f t="shared" si="1"/>
        <v>60903.33</v>
      </c>
      <c r="K211" s="41">
        <f t="shared" si="1"/>
        <v>4656.1100000000006</v>
      </c>
      <c r="L211" s="41">
        <f t="shared" si="1"/>
        <v>3386712.87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f>874640.54+18602.46-1228.67</f>
        <v>892014.33</v>
      </c>
      <c r="I215" s="18"/>
      <c r="J215" s="18"/>
      <c r="K215" s="18"/>
      <c r="L215" s="19">
        <f>SUM(F215:K215)</f>
        <v>892014.33</v>
      </c>
      <c r="M215" s="8"/>
      <c r="N215" s="266"/>
    </row>
    <row r="216" spans="1:14" s="3" customFormat="1" ht="12.2" customHeight="1" x14ac:dyDescent="0.15">
      <c r="A216" s="1" t="s">
        <v>439</v>
      </c>
      <c r="B216" s="2" t="s">
        <v>346</v>
      </c>
      <c r="C216" s="2" t="s">
        <v>291</v>
      </c>
      <c r="D216" s="2" t="s">
        <v>431</v>
      </c>
      <c r="E216" s="6">
        <v>1200</v>
      </c>
      <c r="F216" s="18"/>
      <c r="G216" s="18"/>
      <c r="H216" s="18">
        <v>45001.36</v>
      </c>
      <c r="I216" s="18"/>
      <c r="J216" s="18"/>
      <c r="K216" s="18"/>
      <c r="L216" s="19">
        <f>SUM(F216:K216)</f>
        <v>45001.36</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v>1344</v>
      </c>
      <c r="I220" s="18"/>
      <c r="J220" s="18"/>
      <c r="K220" s="18"/>
      <c r="L220" s="19">
        <f t="shared" ref="L220:L226" si="2">SUM(F220:K220)</f>
        <v>1344</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v>59.82</v>
      </c>
      <c r="I222" s="18"/>
      <c r="J222" s="18"/>
      <c r="K222" s="18"/>
      <c r="L222" s="19">
        <f t="shared" si="2"/>
        <v>59.82</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82523.95</v>
      </c>
      <c r="I226" s="18"/>
      <c r="J226" s="18"/>
      <c r="K226" s="18"/>
      <c r="L226" s="19">
        <f t="shared" si="2"/>
        <v>82523.95</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1020943.4599999998</v>
      </c>
      <c r="I229" s="41">
        <f>SUM(I215:I228)</f>
        <v>0</v>
      </c>
      <c r="J229" s="41">
        <f>SUM(J215:J228)</f>
        <v>0</v>
      </c>
      <c r="K229" s="41">
        <f t="shared" si="3"/>
        <v>0</v>
      </c>
      <c r="L229" s="41">
        <f t="shared" si="3"/>
        <v>1020943.4599999998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1728840.67</v>
      </c>
      <c r="G257" s="41">
        <f t="shared" si="8"/>
        <v>760583.21000000008</v>
      </c>
      <c r="H257" s="41">
        <f t="shared" si="8"/>
        <v>1678721.48</v>
      </c>
      <c r="I257" s="41">
        <f t="shared" si="8"/>
        <v>173951.52999999997</v>
      </c>
      <c r="J257" s="41">
        <f t="shared" si="8"/>
        <v>60903.33</v>
      </c>
      <c r="K257" s="41">
        <f t="shared" si="8"/>
        <v>4656.1100000000006</v>
      </c>
      <c r="L257" s="41">
        <f t="shared" si="8"/>
        <v>4407656.33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50000</v>
      </c>
      <c r="L270" s="41">
        <f t="shared" si="9"/>
        <v>50000</v>
      </c>
      <c r="N270" s="264"/>
    </row>
    <row r="271" spans="1:14" s="3" customFormat="1" ht="12.2" customHeight="1" thickTop="1" x14ac:dyDescent="0.2">
      <c r="A271" s="43" t="s">
        <v>464</v>
      </c>
      <c r="B271" s="40">
        <v>10</v>
      </c>
      <c r="C271" s="40">
        <v>18</v>
      </c>
      <c r="D271" s="39" t="s">
        <v>431</v>
      </c>
      <c r="E271" s="40"/>
      <c r="F271" s="42">
        <f t="shared" ref="F271:L271" si="11">F257+F270</f>
        <v>1728840.67</v>
      </c>
      <c r="G271" s="42">
        <f t="shared" si="11"/>
        <v>760583.21000000008</v>
      </c>
      <c r="H271" s="42">
        <f t="shared" si="11"/>
        <v>1678721.48</v>
      </c>
      <c r="I271" s="42">
        <f t="shared" si="11"/>
        <v>173951.52999999997</v>
      </c>
      <c r="J271" s="42">
        <f t="shared" si="11"/>
        <v>60903.33</v>
      </c>
      <c r="K271" s="42">
        <f t="shared" si="11"/>
        <v>54656.11</v>
      </c>
      <c r="L271" s="42">
        <f t="shared" si="11"/>
        <v>4457656.33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0</v>
      </c>
      <c r="G276" s="18">
        <v>0</v>
      </c>
      <c r="H276" s="18">
        <v>9240</v>
      </c>
      <c r="I276" s="18">
        <v>7986.94</v>
      </c>
      <c r="J276" s="18">
        <v>0</v>
      </c>
      <c r="K276" s="18">
        <v>0</v>
      </c>
      <c r="L276" s="19">
        <f>SUM(F276:K276)</f>
        <v>17226.939999999999</v>
      </c>
      <c r="M276" s="8"/>
      <c r="N276" s="266"/>
    </row>
    <row r="277" spans="1:14" s="3" customFormat="1" ht="12.2" customHeight="1" x14ac:dyDescent="0.15">
      <c r="A277" s="1" t="s">
        <v>439</v>
      </c>
      <c r="B277" s="2" t="s">
        <v>357</v>
      </c>
      <c r="C277" s="2" t="s">
        <v>291</v>
      </c>
      <c r="D277" s="2" t="s">
        <v>431</v>
      </c>
      <c r="E277" s="6">
        <v>1200</v>
      </c>
      <c r="F277" s="18">
        <v>41678.76</v>
      </c>
      <c r="G277" s="18">
        <v>10238.24</v>
      </c>
      <c r="H277" s="18">
        <v>5486.25</v>
      </c>
      <c r="I277" s="18">
        <v>90.65</v>
      </c>
      <c r="J277" s="18">
        <v>0</v>
      </c>
      <c r="K277" s="18">
        <v>0</v>
      </c>
      <c r="L277" s="19">
        <f>SUM(F277:K277)</f>
        <v>57493.9</v>
      </c>
      <c r="M277" s="8"/>
      <c r="N277" s="266"/>
    </row>
    <row r="278" spans="1:14" s="3" customFormat="1" ht="12.2" customHeight="1" x14ac:dyDescent="0.15">
      <c r="A278" s="1" t="s">
        <v>440</v>
      </c>
      <c r="B278" s="2" t="s">
        <v>357</v>
      </c>
      <c r="C278" s="2" t="s">
        <v>292</v>
      </c>
      <c r="D278" s="2" t="s">
        <v>431</v>
      </c>
      <c r="E278" s="6">
        <v>1300</v>
      </c>
      <c r="F278" s="18"/>
      <c r="G278" s="18"/>
      <c r="H278" s="18">
        <v>0</v>
      </c>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14322</v>
      </c>
      <c r="G279" s="18">
        <v>3361.16</v>
      </c>
      <c r="H279" s="18">
        <v>0</v>
      </c>
      <c r="I279" s="18">
        <v>113.29</v>
      </c>
      <c r="J279" s="18">
        <v>0</v>
      </c>
      <c r="K279" s="18">
        <v>0</v>
      </c>
      <c r="L279" s="19">
        <f>SUM(F279:K279)</f>
        <v>17796.45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1750</v>
      </c>
      <c r="H281" s="18">
        <v>0</v>
      </c>
      <c r="I281" s="18">
        <v>0</v>
      </c>
      <c r="J281" s="18">
        <v>0</v>
      </c>
      <c r="K281" s="18">
        <v>0</v>
      </c>
      <c r="L281" s="19">
        <f t="shared" ref="L281:L287" si="12">SUM(F281:K281)</f>
        <v>1750</v>
      </c>
      <c r="M281" s="8"/>
      <c r="N281" s="266"/>
    </row>
    <row r="282" spans="1:14" s="3" customFormat="1" ht="12.2" customHeight="1" x14ac:dyDescent="0.15">
      <c r="A282" s="1" t="s">
        <v>443</v>
      </c>
      <c r="B282" s="2" t="s">
        <v>357</v>
      </c>
      <c r="C282" s="2" t="s">
        <v>295</v>
      </c>
      <c r="D282" s="2" t="s">
        <v>431</v>
      </c>
      <c r="E282" s="6">
        <v>2200</v>
      </c>
      <c r="F282" s="18">
        <v>3050</v>
      </c>
      <c r="G282" s="18">
        <v>757.92</v>
      </c>
      <c r="H282" s="18">
        <v>16742.25</v>
      </c>
      <c r="I282" s="18">
        <v>0</v>
      </c>
      <c r="J282" s="18">
        <v>0</v>
      </c>
      <c r="K282" s="18">
        <v>0</v>
      </c>
      <c r="L282" s="19">
        <f t="shared" si="12"/>
        <v>20550.169999999998</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32.840000000000003</v>
      </c>
      <c r="H284" s="18">
        <v>0</v>
      </c>
      <c r="I284" s="18">
        <v>0</v>
      </c>
      <c r="J284" s="18">
        <v>0</v>
      </c>
      <c r="K284" s="18">
        <v>0</v>
      </c>
      <c r="L284" s="19">
        <f t="shared" si="12"/>
        <v>32.840000000000003</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59050.76</v>
      </c>
      <c r="G290" s="42">
        <f t="shared" si="13"/>
        <v>16140.16</v>
      </c>
      <c r="H290" s="42">
        <f t="shared" si="13"/>
        <v>31468.5</v>
      </c>
      <c r="I290" s="42">
        <f t="shared" si="13"/>
        <v>8190.8799999999992</v>
      </c>
      <c r="J290" s="42">
        <f t="shared" si="13"/>
        <v>0</v>
      </c>
      <c r="K290" s="42">
        <f t="shared" si="13"/>
        <v>0</v>
      </c>
      <c r="L290" s="41">
        <f t="shared" si="13"/>
        <v>114850.29999999999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59050.76</v>
      </c>
      <c r="G338" s="41">
        <f t="shared" si="20"/>
        <v>16140.16</v>
      </c>
      <c r="H338" s="41">
        <f t="shared" si="20"/>
        <v>31468.5</v>
      </c>
      <c r="I338" s="41">
        <f t="shared" si="20"/>
        <v>8190.8799999999992</v>
      </c>
      <c r="J338" s="41">
        <f t="shared" si="20"/>
        <v>0</v>
      </c>
      <c r="K338" s="41">
        <f t="shared" si="20"/>
        <v>0</v>
      </c>
      <c r="L338" s="41">
        <f t="shared" si="20"/>
        <v>114850.29999999999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59050.76</v>
      </c>
      <c r="G352" s="41">
        <f>G338</f>
        <v>16140.16</v>
      </c>
      <c r="H352" s="41">
        <f>H338</f>
        <v>31468.5</v>
      </c>
      <c r="I352" s="41">
        <f>I338</f>
        <v>8190.8799999999992</v>
      </c>
      <c r="J352" s="41">
        <f>J338</f>
        <v>0</v>
      </c>
      <c r="K352" s="47">
        <f>K338+K351</f>
        <v>0</v>
      </c>
      <c r="L352" s="41">
        <f>L338+L351</f>
        <v>114850.29999999999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29595.56</v>
      </c>
      <c r="G358" s="18">
        <v>2946.8</v>
      </c>
      <c r="H358" s="18">
        <v>9385.25</v>
      </c>
      <c r="I358" s="18">
        <v>32978.480000000003</v>
      </c>
      <c r="J358" s="18">
        <v>0</v>
      </c>
      <c r="K358" s="18">
        <v>200</v>
      </c>
      <c r="L358" s="13">
        <f>SUM(F358:K358)</f>
        <v>75106.09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29595.56</v>
      </c>
      <c r="G362" s="47">
        <f t="shared" si="22"/>
        <v>2946.8</v>
      </c>
      <c r="H362" s="47">
        <f t="shared" si="22"/>
        <v>9385.25</v>
      </c>
      <c r="I362" s="47">
        <f t="shared" si="22"/>
        <v>32978.480000000003</v>
      </c>
      <c r="J362" s="47">
        <f t="shared" si="22"/>
        <v>0</v>
      </c>
      <c r="K362" s="47">
        <f t="shared" si="22"/>
        <v>200</v>
      </c>
      <c r="L362" s="47">
        <f t="shared" si="22"/>
        <v>75106.09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23275.93+5160.42</f>
        <v>28436.35</v>
      </c>
      <c r="G367" s="18"/>
      <c r="H367" s="18"/>
      <c r="I367" s="56">
        <f>SUM(F367:H367)</f>
        <v>28436.35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2347.82+1132.49+190+49.99+821.83</f>
        <v>4542.13</v>
      </c>
      <c r="G368" s="63"/>
      <c r="H368" s="63"/>
      <c r="I368" s="56">
        <f>SUM(F368:H368)</f>
        <v>4542.13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32978.479999999996</v>
      </c>
      <c r="G369" s="47">
        <f>SUM(G367:G368)</f>
        <v>0</v>
      </c>
      <c r="H369" s="47">
        <f>SUM(H367:H368)</f>
        <v>0</v>
      </c>
      <c r="I369" s="47">
        <f>SUM(I367:I368)</f>
        <v>32978.479999999996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4388.68</v>
      </c>
      <c r="I396" s="18"/>
      <c r="J396" s="24" t="s">
        <v>288</v>
      </c>
      <c r="K396" s="24" t="s">
        <v>288</v>
      </c>
      <c r="L396" s="56">
        <f t="shared" si="26"/>
        <v>54388.68</v>
      </c>
      <c r="M396" s="8"/>
      <c r="N396" s="266"/>
    </row>
    <row r="397" spans="1:14" s="3" customFormat="1" ht="12.2" customHeight="1" x14ac:dyDescent="0.15">
      <c r="A397" s="79" t="s">
        <v>515</v>
      </c>
      <c r="B397" s="2" t="s">
        <v>381</v>
      </c>
      <c r="C397" s="6">
        <v>10</v>
      </c>
      <c r="D397" s="2" t="s">
        <v>432</v>
      </c>
      <c r="E397" s="6"/>
      <c r="F397" s="18"/>
      <c r="G397" s="18"/>
      <c r="H397" s="18">
        <v>689.08</v>
      </c>
      <c r="I397" s="18"/>
      <c r="J397" s="24" t="s">
        <v>288</v>
      </c>
      <c r="K397" s="24" t="s">
        <v>288</v>
      </c>
      <c r="L397" s="56">
        <f t="shared" si="26"/>
        <v>689.08</v>
      </c>
      <c r="M397" s="8"/>
      <c r="N397" s="266"/>
    </row>
    <row r="398" spans="1:14" s="3" customFormat="1" ht="12.2" customHeight="1" x14ac:dyDescent="0.15">
      <c r="A398" s="79" t="s">
        <v>558</v>
      </c>
      <c r="B398" s="2" t="s">
        <v>381</v>
      </c>
      <c r="C398" s="6">
        <v>11</v>
      </c>
      <c r="D398" s="2" t="s">
        <v>432</v>
      </c>
      <c r="E398" s="6"/>
      <c r="F398" s="18"/>
      <c r="G398" s="18"/>
      <c r="H398" s="18">
        <v>719.52</v>
      </c>
      <c r="I398" s="18"/>
      <c r="J398" s="24" t="s">
        <v>288</v>
      </c>
      <c r="K398" s="24" t="s">
        <v>288</v>
      </c>
      <c r="L398" s="56">
        <f t="shared" si="26"/>
        <v>719.52</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5797.2800000000007</v>
      </c>
      <c r="I401" s="47">
        <f>SUM(I395:I400)</f>
        <v>0</v>
      </c>
      <c r="J401" s="45" t="s">
        <v>288</v>
      </c>
      <c r="K401" s="45" t="s">
        <v>288</v>
      </c>
      <c r="L401" s="47">
        <f>SUM(L395:L400)</f>
        <v>55797.279999999999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1613</v>
      </c>
      <c r="B403" s="2" t="s">
        <v>381</v>
      </c>
      <c r="C403" s="6">
        <v>15</v>
      </c>
      <c r="D403" s="2" t="s">
        <v>432</v>
      </c>
      <c r="E403" s="6"/>
      <c r="F403" s="18"/>
      <c r="G403" s="18"/>
      <c r="H403" s="18"/>
      <c r="I403" s="18">
        <v>528</v>
      </c>
      <c r="J403" s="24" t="s">
        <v>288</v>
      </c>
      <c r="K403" s="24" t="s">
        <v>288</v>
      </c>
      <c r="L403" s="56">
        <f>SUM(F403:K403)</f>
        <v>528</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528</v>
      </c>
      <c r="J407" s="49" t="s">
        <v>288</v>
      </c>
      <c r="K407" s="49" t="s">
        <v>288</v>
      </c>
      <c r="L407" s="47">
        <f>SUM(L403:L406)</f>
        <v>528</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5797.2800000000007</v>
      </c>
      <c r="I408" s="47">
        <f>I393+I401+I407</f>
        <v>528</v>
      </c>
      <c r="J408" s="24" t="s">
        <v>288</v>
      </c>
      <c r="K408" s="24" t="s">
        <v>288</v>
      </c>
      <c r="L408" s="47">
        <f>L393+L401+L407</f>
        <v>56325.279999999999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1611</v>
      </c>
      <c r="B429" s="6">
        <v>17</v>
      </c>
      <c r="C429" s="6">
        <v>15</v>
      </c>
      <c r="D429" s="2" t="s">
        <v>432</v>
      </c>
      <c r="E429" s="6"/>
      <c r="F429" s="18"/>
      <c r="G429" s="18"/>
      <c r="H429" s="18"/>
      <c r="I429" s="18"/>
      <c r="J429" s="18">
        <v>528</v>
      </c>
      <c r="K429" s="18"/>
      <c r="L429" s="56">
        <f>SUM(F429:K429)</f>
        <v>528</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528</v>
      </c>
      <c r="K433" s="47">
        <f t="shared" si="31"/>
        <v>0</v>
      </c>
      <c r="L433" s="47">
        <f t="shared" si="31"/>
        <v>528</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528</v>
      </c>
      <c r="K434" s="47">
        <f t="shared" si="32"/>
        <v>0</v>
      </c>
      <c r="L434" s="47">
        <f t="shared" si="32"/>
        <v>528</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v>11954.28</v>
      </c>
      <c r="I439" s="56">
        <f t="shared" ref="I439:I445" si="33">SUM(F439:H439)</f>
        <v>11954.28</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271035.17</v>
      </c>
      <c r="H442" s="18"/>
      <c r="I442" s="56">
        <f t="shared" si="33"/>
        <v>271035.17</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271035.17</v>
      </c>
      <c r="H446" s="13">
        <f>SUM(H439:H445)</f>
        <v>11954.28</v>
      </c>
      <c r="I446" s="13">
        <f>SUM(I439:I445)</f>
        <v>282989.45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v>11954.28</v>
      </c>
      <c r="I451" s="56">
        <f>SUM(F451:H451)</f>
        <v>11954.28</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11954.28</v>
      </c>
      <c r="I452" s="72">
        <f>SUM(I448:I451)</f>
        <v>11954.28</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271035.17</v>
      </c>
      <c r="H459" s="18"/>
      <c r="I459" s="56">
        <f t="shared" si="34"/>
        <v>271035.17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271035.17</v>
      </c>
      <c r="H460" s="83">
        <f>SUM(H454:H459)</f>
        <v>0</v>
      </c>
      <c r="I460" s="83">
        <f>SUM(I454:I459)</f>
        <v>271035.17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271035.17</v>
      </c>
      <c r="H461" s="42">
        <f>H452+H460</f>
        <v>11954.28</v>
      </c>
      <c r="I461" s="42">
        <f>I452+I460</f>
        <v>282989.45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204407.22</v>
      </c>
      <c r="G465" s="18">
        <v>13974.77</v>
      </c>
      <c r="H465" s="18">
        <v>0</v>
      </c>
      <c r="I465" s="18">
        <v>0</v>
      </c>
      <c r="J465" s="18">
        <v>212553.48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4858677.6100000003</v>
      </c>
      <c r="G468" s="18">
        <f>G193</f>
        <v>67855.740000000005</v>
      </c>
      <c r="H468" s="18">
        <f>H193</f>
        <v>114850.29999999999</v>
      </c>
      <c r="I468" s="18">
        <v>0</v>
      </c>
      <c r="J468" s="18">
        <f>L408</f>
        <v>56325.279999999999</v>
      </c>
      <c r="K468" s="24" t="s">
        <v>288</v>
      </c>
      <c r="L468" s="24" t="s">
        <v>288</v>
      </c>
      <c r="N468" s="265"/>
    </row>
    <row r="469" spans="1:14" s="52" customFormat="1" ht="12.2" customHeight="1" x14ac:dyDescent="0.2">
      <c r="A469" s="93" t="s">
        <v>611</v>
      </c>
      <c r="B469" s="75">
        <v>19</v>
      </c>
      <c r="C469" s="80">
        <v>3</v>
      </c>
      <c r="D469" s="2" t="s">
        <v>432</v>
      </c>
      <c r="E469" s="80"/>
      <c r="F469" s="18">
        <v>5871</v>
      </c>
      <c r="G469" s="18"/>
      <c r="H469" s="18"/>
      <c r="I469" s="18"/>
      <c r="J469" s="18">
        <v>2684.41</v>
      </c>
      <c r="K469" s="24" t="s">
        <v>288</v>
      </c>
      <c r="L469" s="24" t="s">
        <v>288</v>
      </c>
      <c r="N469" s="265"/>
    </row>
    <row r="470" spans="1:14" s="52" customFormat="1" ht="12.2" customHeight="1" x14ac:dyDescent="0.2">
      <c r="A470" s="92" t="s">
        <v>425</v>
      </c>
      <c r="B470" s="75">
        <v>19</v>
      </c>
      <c r="C470" s="80">
        <v>4</v>
      </c>
      <c r="D470" s="2" t="s">
        <v>432</v>
      </c>
      <c r="E470" s="80"/>
      <c r="F470" s="53">
        <f>SUM(F468:F469)</f>
        <v>4864548.6100000003</v>
      </c>
      <c r="G470" s="53">
        <f>SUM(G468:G469)</f>
        <v>67855.740000000005</v>
      </c>
      <c r="H470" s="53">
        <f>SUM(H468:H469)</f>
        <v>114850.29999999999</v>
      </c>
      <c r="I470" s="53">
        <f>SUM(I468:I469)</f>
        <v>0</v>
      </c>
      <c r="J470" s="53">
        <f>SUM(J468:J469)</f>
        <v>59009.69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4457656.33</v>
      </c>
      <c r="G472" s="18">
        <f>L358</f>
        <v>75106.09</v>
      </c>
      <c r="H472" s="18">
        <f>L290</f>
        <v>114850.29999999999</v>
      </c>
      <c r="I472" s="18">
        <v>0</v>
      </c>
      <c r="J472" s="18">
        <f>L434</f>
        <v>528</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4457656.33</v>
      </c>
      <c r="G474" s="53">
        <f>SUM(G472:G473)</f>
        <v>75106.09</v>
      </c>
      <c r="H474" s="53">
        <f>SUM(H472:H473)</f>
        <v>114850.29999999999</v>
      </c>
      <c r="I474" s="53">
        <f>SUM(I472:I473)</f>
        <v>0</v>
      </c>
      <c r="J474" s="53">
        <f>SUM(J472:J473)</f>
        <v>528</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611299.5</v>
      </c>
      <c r="G476" s="53">
        <f>(G465+G470)- G474</f>
        <v>6724.4200000000128</v>
      </c>
      <c r="H476" s="53">
        <f>(H465+H470)- H474</f>
        <v>0</v>
      </c>
      <c r="I476" s="53">
        <f>(I465+I470)- I474</f>
        <v>0</v>
      </c>
      <c r="J476" s="53">
        <f>(J465+J470)- J474</f>
        <v>271035.17000000004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1609</v>
      </c>
      <c r="B480" s="112"/>
      <c r="C480" s="112"/>
      <c r="D480" s="112"/>
      <c r="E480" s="112"/>
      <c r="F480" s="112"/>
      <c r="G480" s="112"/>
      <c r="H480" s="112"/>
      <c r="I480" s="112" t="s">
        <v>401</v>
      </c>
      <c r="J480" s="112"/>
      <c r="K480" s="95"/>
      <c r="L480" s="95"/>
      <c r="N480" s="265"/>
    </row>
    <row r="481" spans="1:14" s="52" customFormat="1" ht="12.2" customHeight="1" x14ac:dyDescent="0.2">
      <c r="A481" s="175" t="s">
        <v>1610</v>
      </c>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231533.58</v>
      </c>
      <c r="G521" s="18">
        <v>105602.77</v>
      </c>
      <c r="H521" s="18">
        <f>84001.27-45001.36</f>
        <v>38999.910000000003</v>
      </c>
      <c r="I521" s="18">
        <v>1495.46</v>
      </c>
      <c r="J521" s="18">
        <v>1757</v>
      </c>
      <c r="K521" s="18">
        <v>0</v>
      </c>
      <c r="L521" s="88">
        <f>SUM(F521:K521)</f>
        <v>379388.72000000003</v>
      </c>
      <c r="N521" s="265"/>
    </row>
    <row r="522" spans="1:14" s="52" customFormat="1" ht="12.2" customHeight="1" x14ac:dyDescent="0.2">
      <c r="A522" s="22" t="s">
        <v>634</v>
      </c>
      <c r="B522" s="105">
        <v>21</v>
      </c>
      <c r="C522" s="115">
        <v>2</v>
      </c>
      <c r="D522" s="2" t="s">
        <v>432</v>
      </c>
      <c r="E522" s="115"/>
      <c r="F522" s="18">
        <v>0</v>
      </c>
      <c r="G522" s="18">
        <v>0</v>
      </c>
      <c r="H522" s="18">
        <v>45001.36</v>
      </c>
      <c r="I522" s="18">
        <v>0</v>
      </c>
      <c r="J522" s="18">
        <v>0</v>
      </c>
      <c r="K522" s="18">
        <v>0</v>
      </c>
      <c r="L522" s="88">
        <f>SUM(F522:K522)</f>
        <v>45001.36</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231533.58</v>
      </c>
      <c r="G524" s="108">
        <f t="shared" ref="G524:L524" si="36">SUM(G521:G523)</f>
        <v>105602.77</v>
      </c>
      <c r="H524" s="108">
        <f t="shared" si="36"/>
        <v>84001.27</v>
      </c>
      <c r="I524" s="108">
        <f t="shared" si="36"/>
        <v>1495.46</v>
      </c>
      <c r="J524" s="108">
        <f t="shared" si="36"/>
        <v>1757</v>
      </c>
      <c r="K524" s="108">
        <f t="shared" si="36"/>
        <v>0</v>
      </c>
      <c r="L524" s="89">
        <f t="shared" si="36"/>
        <v>424390.08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63765</v>
      </c>
      <c r="G526" s="18">
        <v>37287.980000000003</v>
      </c>
      <c r="H526" s="18">
        <f>140248.18+5537.23+281.36+3502.18</f>
        <v>149568.94999999998</v>
      </c>
      <c r="I526" s="18">
        <v>0</v>
      </c>
      <c r="J526" s="18">
        <v>0</v>
      </c>
      <c r="K526" s="18">
        <v>0</v>
      </c>
      <c r="L526" s="88">
        <f>SUM(F526:K526)</f>
        <v>250621.93</v>
      </c>
      <c r="M526" s="8"/>
      <c r="N526" s="266"/>
    </row>
    <row r="527" spans="1:14" s="3" customFormat="1" ht="12.2" customHeight="1" x14ac:dyDescent="0.15">
      <c r="A527" s="22" t="s">
        <v>634</v>
      </c>
      <c r="B527" s="105">
        <v>21</v>
      </c>
      <c r="C527" s="115">
        <v>6</v>
      </c>
      <c r="D527" s="2" t="s">
        <v>432</v>
      </c>
      <c r="E527" s="115"/>
      <c r="F527" s="18"/>
      <c r="G527" s="18"/>
      <c r="H527" s="18">
        <v>1344</v>
      </c>
      <c r="I527" s="18"/>
      <c r="J527" s="18"/>
      <c r="K527" s="18"/>
      <c r="L527" s="88">
        <f>SUM(F527:K527)</f>
        <v>1344</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63765</v>
      </c>
      <c r="G529" s="89">
        <f t="shared" ref="G529:L529" si="37">SUM(G526:G528)</f>
        <v>37287.980000000003</v>
      </c>
      <c r="H529" s="89">
        <f t="shared" si="37"/>
        <v>150912.94999999998</v>
      </c>
      <c r="I529" s="89">
        <f t="shared" si="37"/>
        <v>0</v>
      </c>
      <c r="J529" s="89">
        <f t="shared" si="37"/>
        <v>0</v>
      </c>
      <c r="K529" s="89">
        <f t="shared" si="37"/>
        <v>0</v>
      </c>
      <c r="L529" s="89">
        <f t="shared" si="37"/>
        <v>251965.93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395.34</v>
      </c>
      <c r="I531" s="18"/>
      <c r="J531" s="18"/>
      <c r="K531" s="18"/>
      <c r="L531" s="88">
        <f>SUM(F531:K531)</f>
        <v>395.34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59.82</v>
      </c>
      <c r="I533" s="18"/>
      <c r="J533" s="18"/>
      <c r="K533" s="18"/>
      <c r="L533" s="88">
        <f>SUM(F533:K533)</f>
        <v>59.82</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455.15999999999997</v>
      </c>
      <c r="I534" s="89">
        <f t="shared" si="38"/>
        <v>0</v>
      </c>
      <c r="J534" s="89">
        <f t="shared" si="38"/>
        <v>0</v>
      </c>
      <c r="K534" s="89">
        <f t="shared" si="38"/>
        <v>0</v>
      </c>
      <c r="L534" s="89">
        <f t="shared" si="38"/>
        <v>455.15999999999997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882.08</v>
      </c>
      <c r="I536" s="18"/>
      <c r="J536" s="18"/>
      <c r="K536" s="18"/>
      <c r="L536" s="88">
        <f>SUM(F536:K536)</f>
        <v>882.08</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882.08</v>
      </c>
      <c r="I539" s="89">
        <f t="shared" si="39"/>
        <v>0</v>
      </c>
      <c r="J539" s="89">
        <f t="shared" si="39"/>
        <v>0</v>
      </c>
      <c r="K539" s="89">
        <f t="shared" si="39"/>
        <v>0</v>
      </c>
      <c r="L539" s="89">
        <f t="shared" si="39"/>
        <v>882.08</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46101.89</v>
      </c>
      <c r="I541" s="18"/>
      <c r="J541" s="18"/>
      <c r="K541" s="18"/>
      <c r="L541" s="88">
        <f>SUM(F541:K541)</f>
        <v>46101.89</v>
      </c>
      <c r="M541" s="8"/>
      <c r="N541" s="266"/>
    </row>
    <row r="542" spans="1:14" s="3" customFormat="1" ht="12.2" customHeight="1" x14ac:dyDescent="0.15">
      <c r="A542" s="22" t="s">
        <v>634</v>
      </c>
      <c r="B542" s="105">
        <v>21</v>
      </c>
      <c r="C542" s="105">
        <v>18</v>
      </c>
      <c r="D542" s="2" t="s">
        <v>432</v>
      </c>
      <c r="E542" s="105"/>
      <c r="F542" s="18"/>
      <c r="G542" s="18"/>
      <c r="H542" s="18">
        <v>41188</v>
      </c>
      <c r="I542" s="18"/>
      <c r="J542" s="18"/>
      <c r="K542" s="18"/>
      <c r="L542" s="88">
        <f>SUM(F542:K542)</f>
        <v>41188</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87289.89</v>
      </c>
      <c r="I544" s="193">
        <f t="shared" si="40"/>
        <v>0</v>
      </c>
      <c r="J544" s="193">
        <f t="shared" si="40"/>
        <v>0</v>
      </c>
      <c r="K544" s="193">
        <f t="shared" si="40"/>
        <v>0</v>
      </c>
      <c r="L544" s="193">
        <f t="shared" si="40"/>
        <v>87289.89</v>
      </c>
      <c r="M544" s="8"/>
      <c r="N544" s="266"/>
    </row>
    <row r="545" spans="1:14" s="3" customFormat="1" ht="12.2" customHeight="1" thickTop="1" x14ac:dyDescent="0.15">
      <c r="A545" s="98" t="s">
        <v>72</v>
      </c>
      <c r="B545" s="107">
        <v>21</v>
      </c>
      <c r="C545" s="107">
        <v>21</v>
      </c>
      <c r="D545" s="158" t="s">
        <v>432</v>
      </c>
      <c r="E545" s="107"/>
      <c r="F545" s="89">
        <f>F524+F529+F534+F539+F544</f>
        <v>295298.57999999996</v>
      </c>
      <c r="G545" s="89">
        <f t="shared" ref="G545:L545" si="41">G524+G529+G534+G539+G544</f>
        <v>142890.75</v>
      </c>
      <c r="H545" s="89">
        <f t="shared" si="41"/>
        <v>323541.34999999998</v>
      </c>
      <c r="I545" s="89">
        <f t="shared" si="41"/>
        <v>1495.46</v>
      </c>
      <c r="J545" s="89">
        <f t="shared" si="41"/>
        <v>1757</v>
      </c>
      <c r="K545" s="89">
        <f t="shared" si="41"/>
        <v>0</v>
      </c>
      <c r="L545" s="89">
        <f t="shared" si="41"/>
        <v>764983.14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379388.72000000003</v>
      </c>
      <c r="G549" s="87">
        <f>L526</f>
        <v>250621.93</v>
      </c>
      <c r="H549" s="87">
        <f>L531</f>
        <v>395.34</v>
      </c>
      <c r="I549" s="87">
        <f>L536</f>
        <v>882.08</v>
      </c>
      <c r="J549" s="87">
        <f>L541</f>
        <v>46101.89</v>
      </c>
      <c r="K549" s="87">
        <f>SUM(F549:J549)</f>
        <v>677389.96</v>
      </c>
      <c r="L549" s="24" t="s">
        <v>288</v>
      </c>
      <c r="M549" s="8"/>
      <c r="N549" s="266"/>
    </row>
    <row r="550" spans="1:14" s="3" customFormat="1" ht="12.2" customHeight="1" x14ac:dyDescent="0.15">
      <c r="A550" s="22" t="s">
        <v>634</v>
      </c>
      <c r="B550" s="75">
        <v>21</v>
      </c>
      <c r="C550" s="75">
        <v>23</v>
      </c>
      <c r="D550" s="2" t="s">
        <v>432</v>
      </c>
      <c r="E550" s="75"/>
      <c r="F550" s="87">
        <f>L522</f>
        <v>45001.36</v>
      </c>
      <c r="G550" s="87">
        <f>L527</f>
        <v>1344</v>
      </c>
      <c r="H550" s="87">
        <f>L532</f>
        <v>0</v>
      </c>
      <c r="I550" s="87">
        <f>L537</f>
        <v>0</v>
      </c>
      <c r="J550" s="87">
        <f>L542</f>
        <v>41188</v>
      </c>
      <c r="K550" s="87">
        <f>SUM(F550:J550)</f>
        <v>87533.36</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59.82</v>
      </c>
      <c r="I551" s="87">
        <f>L538</f>
        <v>0</v>
      </c>
      <c r="J551" s="87">
        <f>L543</f>
        <v>0</v>
      </c>
      <c r="K551" s="87">
        <f>SUM(F551:J551)</f>
        <v>59.82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424390.08</v>
      </c>
      <c r="G552" s="89">
        <f t="shared" si="42"/>
        <v>251965.93</v>
      </c>
      <c r="H552" s="89">
        <f t="shared" si="42"/>
        <v>455.15999999999997</v>
      </c>
      <c r="I552" s="89">
        <f t="shared" si="42"/>
        <v>882.08</v>
      </c>
      <c r="J552" s="89">
        <f t="shared" si="42"/>
        <v>87289.89</v>
      </c>
      <c r="K552" s="89">
        <f t="shared" si="42"/>
        <v>764983.1399999999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f>869602.54+5038</f>
        <v>874640.54</v>
      </c>
      <c r="H575" s="18"/>
      <c r="I575" s="87">
        <f>SUM(F575:H575)</f>
        <v>874640.54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18046.06+3299.23+2187.02</f>
        <v>23532.31</v>
      </c>
      <c r="G579" s="18"/>
      <c r="H579" s="18"/>
      <c r="I579" s="87">
        <f t="shared" si="47"/>
        <v>23532.31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45001.36</v>
      </c>
      <c r="H582" s="18"/>
      <c r="I582" s="87">
        <f t="shared" si="47"/>
        <v>45001.36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86759.039999999994</v>
      </c>
      <c r="I591" s="18">
        <v>41335.949999999997</v>
      </c>
      <c r="J591" s="18"/>
      <c r="K591" s="104">
        <f t="shared" ref="K591:K597" si="48">SUM(H591:J591)</f>
        <v>128094.98999999999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46101.89</v>
      </c>
      <c r="I592" s="18">
        <v>41188</v>
      </c>
      <c r="J592" s="18"/>
      <c r="K592" s="104">
        <f t="shared" si="48"/>
        <v>87289.89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2890.4</v>
      </c>
      <c r="I595" s="18"/>
      <c r="J595" s="18"/>
      <c r="K595" s="104">
        <f t="shared" si="48"/>
        <v>2890.4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135751.32999999999</v>
      </c>
      <c r="I598" s="108">
        <f>SUM(I591:I597)</f>
        <v>82523.95</v>
      </c>
      <c r="J598" s="108">
        <f>SUM(J591:J597)</f>
        <v>0</v>
      </c>
      <c r="K598" s="108">
        <f>SUM(K591:K597)</f>
        <v>218275.28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60903.33</f>
        <v>60903.33</v>
      </c>
      <c r="I604" s="18"/>
      <c r="J604" s="18"/>
      <c r="K604" s="104">
        <f>SUM(H604:J604)</f>
        <v>60903.33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60903.33</v>
      </c>
      <c r="I605" s="108">
        <f>SUM(I602:I604)</f>
        <v>0</v>
      </c>
      <c r="J605" s="108">
        <f>SUM(J602:J604)</f>
        <v>0</v>
      </c>
      <c r="K605" s="108">
        <f>SUM(K602:K604)</f>
        <v>60903.33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1272+13050</f>
        <v>14322</v>
      </c>
      <c r="G611" s="18">
        <f>1095.68+2265.48</f>
        <v>3361.16</v>
      </c>
      <c r="H611" s="18"/>
      <c r="I611" s="18">
        <v>113.29</v>
      </c>
      <c r="J611" s="18"/>
      <c r="K611" s="18"/>
      <c r="L611" s="88">
        <f>SUM(F611:K611)</f>
        <v>17796.45</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14322</v>
      </c>
      <c r="G614" s="108">
        <f t="shared" si="49"/>
        <v>3361.16</v>
      </c>
      <c r="H614" s="108">
        <f t="shared" si="49"/>
        <v>0</v>
      </c>
      <c r="I614" s="108">
        <f t="shared" si="49"/>
        <v>113.29</v>
      </c>
      <c r="J614" s="108">
        <f t="shared" si="49"/>
        <v>0</v>
      </c>
      <c r="K614" s="108">
        <f t="shared" si="49"/>
        <v>0</v>
      </c>
      <c r="L614" s="89">
        <f t="shared" si="49"/>
        <v>17796.45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732198.42999999993</v>
      </c>
      <c r="H617" s="109">
        <f>SUM(F52)</f>
        <v>732198.43000000017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12359.21</v>
      </c>
      <c r="H618" s="109">
        <f>SUM(G52)</f>
        <v>12359.21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33104.69</v>
      </c>
      <c r="H619" s="109">
        <f>SUM(H52)</f>
        <v>33104.69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282989.45</v>
      </c>
      <c r="H621" s="109">
        <f>SUM(J52)</f>
        <v>282989.45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611299.50000000012</v>
      </c>
      <c r="H622" s="109">
        <f>F476</f>
        <v>611299.5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6724.42</v>
      </c>
      <c r="H623" s="109">
        <f>G476</f>
        <v>6724.4200000000128</v>
      </c>
      <c r="I623" s="121" t="s">
        <v>102</v>
      </c>
      <c r="J623" s="109">
        <f t="shared" si="50"/>
        <v>-1.2732925824820995E-11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271035.17</v>
      </c>
      <c r="H626" s="109">
        <f>J476</f>
        <v>271035.17000000004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4858677.6100000003</v>
      </c>
      <c r="H627" s="104">
        <f>SUM(F468)</f>
        <v>4858677.6100000003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67855.740000000005</v>
      </c>
      <c r="H628" s="104">
        <f>SUM(G468)</f>
        <v>67855.740000000005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114850.29999999999</v>
      </c>
      <c r="H629" s="104">
        <f>SUM(H468)</f>
        <v>114850.29999999999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56325.279999999999</v>
      </c>
      <c r="H631" s="104">
        <f>SUM(J468)</f>
        <v>56325.279999999999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4457656.33</v>
      </c>
      <c r="H632" s="104">
        <f>SUM(F472)</f>
        <v>4457656.33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114850.29999999999</v>
      </c>
      <c r="H633" s="104">
        <f>SUM(H472)</f>
        <v>114850.29999999999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32978.480000000003</v>
      </c>
      <c r="H634" s="104">
        <f>I369</f>
        <v>32978.479999999996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75106.09</v>
      </c>
      <c r="H635" s="104">
        <f>SUM(G472)</f>
        <v>75106.09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56325.279999999999</v>
      </c>
      <c r="H637" s="164">
        <f>SUM(J468)</f>
        <v>56325.279999999999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528</v>
      </c>
      <c r="H638" s="164">
        <f>SUM(J472)</f>
        <v>528</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271035.17</v>
      </c>
      <c r="H640" s="104">
        <f>SUM(G461)</f>
        <v>271035.17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11954.28</v>
      </c>
      <c r="H641" s="104">
        <f>SUM(H461)</f>
        <v>11954.28</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282989.45</v>
      </c>
      <c r="H642" s="104">
        <f>SUM(I461)</f>
        <v>282989.45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5797.28</v>
      </c>
      <c r="H644" s="104">
        <f>H408</f>
        <v>5797.2800000000007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56325.279999999999</v>
      </c>
      <c r="H646" s="104">
        <f>L408</f>
        <v>56325.279999999999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218275.28</v>
      </c>
      <c r="H647" s="104">
        <f>L208+L226+L244</f>
        <v>218275.27999999997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60903.33</v>
      </c>
      <c r="H648" s="104">
        <f>(J257+J338)-(J255+J336)</f>
        <v>60903.33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135751.32999999999</v>
      </c>
      <c r="H649" s="104">
        <f>H598</f>
        <v>135751.32999999999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82523.95</v>
      </c>
      <c r="H650" s="104">
        <f>I598</f>
        <v>82523.95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3576669.26</v>
      </c>
      <c r="G660" s="19">
        <f>(L229+L309+L359)</f>
        <v>1020943.4599999998</v>
      </c>
      <c r="H660" s="19">
        <f>(L247+L328+L360)</f>
        <v>0</v>
      </c>
      <c r="I660" s="19">
        <f>SUM(F660:H660)</f>
        <v>4597612.72</v>
      </c>
      <c r="J660" s="13"/>
      <c r="K660" s="13"/>
      <c r="L660" s="13"/>
      <c r="M660" s="9"/>
    </row>
    <row r="661" spans="1:13" s="3" customFormat="1" ht="12.2" customHeight="1" x14ac:dyDescent="0.2">
      <c r="A661" s="1" t="s">
        <v>127</v>
      </c>
      <c r="F661" s="19">
        <f>(L358/IF(SUM(L358:L360)=0,1,SUM(L358:L360))*(SUM(G97:G110)))</f>
        <v>51898.890000000007</v>
      </c>
      <c r="G661" s="19">
        <f>(L359/IF(SUM(L358:L360)=0,1,SUM(L358:L360))*(SUM(G97:G110)))</f>
        <v>0</v>
      </c>
      <c r="H661" s="19">
        <f>(L360/IF(SUM(L358:L360)=0,1,SUM(L358:L360))*(SUM(G97:G110)))</f>
        <v>0</v>
      </c>
      <c r="I661" s="19">
        <f>SUM(F661:H661)</f>
        <v>51898.890000000007</v>
      </c>
      <c r="J661"/>
      <c r="K661" s="13"/>
      <c r="L661" s="13"/>
      <c r="M661" s="9"/>
    </row>
    <row r="662" spans="1:13" s="3" customFormat="1" ht="12.2" customHeight="1" x14ac:dyDescent="0.2">
      <c r="A662" s="1" t="s">
        <v>128</v>
      </c>
      <c r="F662" s="19">
        <f>(L208+L287)-(J208+J287)</f>
        <v>135751.32999999999</v>
      </c>
      <c r="G662" s="19">
        <f>(L226+L306)-(J226+J306)</f>
        <v>82523.95</v>
      </c>
      <c r="H662" s="19">
        <f>(L244+L325)-(J244+J325)</f>
        <v>0</v>
      </c>
      <c r="I662" s="19">
        <f>SUM(F662:H662)</f>
        <v>218275.27999999997</v>
      </c>
      <c r="J662"/>
      <c r="K662" s="13"/>
      <c r="L662" s="13"/>
      <c r="M662" s="8"/>
    </row>
    <row r="663" spans="1:13" s="3" customFormat="1" ht="12.2" customHeight="1" x14ac:dyDescent="0.15">
      <c r="A663" s="198" t="s">
        <v>129</v>
      </c>
      <c r="B663" s="169"/>
      <c r="C663" s="169"/>
      <c r="D663" s="169"/>
      <c r="E663" s="169"/>
      <c r="F663" s="199">
        <f>SUM(F575:F587)+SUM(H602:H604)+SUM(L611)</f>
        <v>102232.09</v>
      </c>
      <c r="G663" s="199">
        <f>SUM(G575:G587)+SUM(I602:I604)+L612</f>
        <v>919641.9</v>
      </c>
      <c r="H663" s="199">
        <f>SUM(H575:H587)+SUM(J602:J604)+L613</f>
        <v>0</v>
      </c>
      <c r="I663" s="19">
        <f>SUM(F663:H663)</f>
        <v>1021873.99</v>
      </c>
      <c r="J663" s="13"/>
      <c r="K663" s="13"/>
      <c r="L663" s="13"/>
      <c r="M663" s="9"/>
    </row>
    <row r="664" spans="1:13" s="3" customFormat="1" ht="12.2" customHeight="1" x14ac:dyDescent="0.15">
      <c r="A664" s="1" t="s">
        <v>130</v>
      </c>
      <c r="F664" s="19">
        <f>F660-SUM(F661:F663)</f>
        <v>3286786.9499999997</v>
      </c>
      <c r="G664" s="19">
        <f>G660-SUM(G661:G663)</f>
        <v>18777.60999999987</v>
      </c>
      <c r="H664" s="19">
        <f>H660-SUM(H661:H663)</f>
        <v>0</v>
      </c>
      <c r="I664" s="19">
        <f>I660-SUM(I661:I663)</f>
        <v>3305564.5599999996</v>
      </c>
      <c r="J664" s="13"/>
      <c r="K664" s="13"/>
      <c r="L664" s="13"/>
      <c r="M664" s="9"/>
    </row>
    <row r="665" spans="1:13" s="3" customFormat="1" ht="12.2" customHeight="1" x14ac:dyDescent="0.2">
      <c r="A665" s="1" t="s">
        <v>131</v>
      </c>
      <c r="F665" s="246">
        <v>184.27</v>
      </c>
      <c r="G665" s="247"/>
      <c r="H665" s="247"/>
      <c r="I665" s="19">
        <f>SUM(F665:H665)</f>
        <v>184.27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17836.8</v>
      </c>
      <c r="G667" s="19" t="e">
        <f>ROUND(G664/G665,2)</f>
        <v>#DIV/0!</v>
      </c>
      <c r="H667" s="19" t="e">
        <f>ROUND(H664/H665,2)</f>
        <v>#DIV/0!</v>
      </c>
      <c r="I667" s="19">
        <f>ROUND(I664/I665,2)</f>
        <v>17938.7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-18777.61</v>
      </c>
      <c r="H669" s="18"/>
      <c r="I669" s="19">
        <f>SUM(F669:H669)</f>
        <v>-18777.61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17836.8</v>
      </c>
      <c r="G672" s="19" t="e">
        <f>ROUND((G664+G669)/(G665+G670),2)</f>
        <v>#DIV/0!</v>
      </c>
      <c r="H672" s="19" t="e">
        <f>ROUND((H664+H669)/(H665+H670),2)</f>
        <v>#DIV/0!</v>
      </c>
      <c r="I672" s="19">
        <f>ROUND((I664+I669)/(I665+I670),2)</f>
        <v>17836.8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E19" sqref="E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Mont Vernon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1017522.08</v>
      </c>
      <c r="C9" s="229">
        <f>'DOE25'!G197+'DOE25'!G215+'DOE25'!G233+'DOE25'!G276+'DOE25'!G295+'DOE25'!G314</f>
        <v>405629.23</v>
      </c>
    </row>
    <row r="10" spans="1:3" x14ac:dyDescent="0.2">
      <c r="A10" t="s">
        <v>775</v>
      </c>
      <c r="B10" s="240">
        <f>946109.76+1500+1500+750+1500+1500+1500+1500</f>
        <v>955859.76</v>
      </c>
      <c r="C10" s="240">
        <v>381047.91</v>
      </c>
    </row>
    <row r="11" spans="1:3" x14ac:dyDescent="0.2">
      <c r="A11" t="s">
        <v>776</v>
      </c>
      <c r="B11" s="240">
        <f>20092.96+1500+1500+1500-375+1500+500</f>
        <v>26217.96</v>
      </c>
      <c r="C11" s="240">
        <v>10451.64</v>
      </c>
    </row>
    <row r="12" spans="1:3" x14ac:dyDescent="0.2">
      <c r="A12" t="s">
        <v>777</v>
      </c>
      <c r="B12" s="240">
        <f>33944.36+1500</f>
        <v>35444.36</v>
      </c>
      <c r="C12" s="240">
        <v>14129.68</v>
      </c>
    </row>
    <row r="13" spans="1:3" x14ac:dyDescent="0.2">
      <c r="A13" t="str">
        <f>IF(B9=B13,IF(C9=C13,"Check Total OK","Check Total Error"),"Check Total Error")</f>
        <v>Check Total OK</v>
      </c>
      <c r="B13" s="231">
        <f>SUM(B10:B12)</f>
        <v>1017522.08</v>
      </c>
      <c r="C13" s="231">
        <f>SUM(C10:C12)</f>
        <v>405629.23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231533.58000000002</v>
      </c>
      <c r="C18" s="229">
        <f>'DOE25'!G198+'DOE25'!G216+'DOE25'!G234+'DOE25'!G277+'DOE25'!G296+'DOE25'!G315</f>
        <v>105602.77</v>
      </c>
    </row>
    <row r="19" spans="1:3" x14ac:dyDescent="0.2">
      <c r="A19" t="s">
        <v>775</v>
      </c>
      <c r="B19" s="240">
        <f>85251.57+41678.76</f>
        <v>126930.33000000002</v>
      </c>
      <c r="C19" s="240">
        <v>57893.1</v>
      </c>
    </row>
    <row r="20" spans="1:3" x14ac:dyDescent="0.2">
      <c r="A20" t="s">
        <v>776</v>
      </c>
      <c r="B20" s="240">
        <f>89247.03</f>
        <v>89247.03</v>
      </c>
      <c r="C20" s="240">
        <v>40705.67</v>
      </c>
    </row>
    <row r="21" spans="1:3" x14ac:dyDescent="0.2">
      <c r="A21" t="s">
        <v>777</v>
      </c>
      <c r="B21" s="240">
        <f>2287.5+10219.87+2848.85</f>
        <v>15356.220000000001</v>
      </c>
      <c r="C21" s="240">
        <v>7004</v>
      </c>
    </row>
    <row r="22" spans="1:3" x14ac:dyDescent="0.2">
      <c r="A22" t="str">
        <f>IF(B18=B22,IF(C18=C22,"Check Total OK","Check Total Error"),"Check Total Error")</f>
        <v>Check Total OK</v>
      </c>
      <c r="B22" s="231">
        <f>SUM(B19:B21)</f>
        <v>231533.58000000002</v>
      </c>
      <c r="C22" s="231">
        <f>SUM(C19:C21)</f>
        <v>105602.76999999999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23847.52</v>
      </c>
      <c r="C36" s="235">
        <f>'DOE25'!G200+'DOE25'!G218+'DOE25'!G236+'DOE25'!G279+'DOE25'!G298+'DOE25'!G317</f>
        <v>4912.21</v>
      </c>
    </row>
    <row r="37" spans="1:3" x14ac:dyDescent="0.2">
      <c r="A37" t="s">
        <v>775</v>
      </c>
      <c r="B37" s="240">
        <f>13050+1800+300+1800+300+400+1205.52+400+60+800+60+200+400+200+400</f>
        <v>21375.52</v>
      </c>
      <c r="C37" s="240">
        <v>4403.0200000000004</v>
      </c>
    </row>
    <row r="38" spans="1:3" x14ac:dyDescent="0.2">
      <c r="A38" t="s">
        <v>776</v>
      </c>
      <c r="B38" s="240">
        <v>1272</v>
      </c>
      <c r="C38" s="240">
        <v>262.01</v>
      </c>
    </row>
    <row r="39" spans="1:3" x14ac:dyDescent="0.2">
      <c r="A39" t="s">
        <v>777</v>
      </c>
      <c r="B39" s="240">
        <f>200+400+200+200+200</f>
        <v>1200</v>
      </c>
      <c r="C39" s="240">
        <v>247.18</v>
      </c>
    </row>
    <row r="40" spans="1:3" x14ac:dyDescent="0.2">
      <c r="A40" t="str">
        <f>IF(B36=B40,IF(C36=C40,"Check Total OK","Check Total Error"),"Check Total Error")</f>
        <v>Check Total OK</v>
      </c>
      <c r="B40" s="231">
        <f>SUM(B37:B39)</f>
        <v>23847.52</v>
      </c>
      <c r="C40" s="231">
        <f>SUM(C37:C39)</f>
        <v>4912.2100000000009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Mont Vernon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2843544.46</v>
      </c>
      <c r="D5" s="20">
        <f>SUM('DOE25'!L197:L200)+SUM('DOE25'!L215:L218)+SUM('DOE25'!L233:L236)-F5-G5-H5</f>
        <v>2815012.44</v>
      </c>
      <c r="E5" s="243"/>
      <c r="F5" s="244"/>
      <c r="G5" s="53">
        <f>SUM('DOE25'!J197:J200)+SUM('DOE25'!J215:J218)+SUM('DOE25'!J233:J236)</f>
        <v>28244.52</v>
      </c>
      <c r="H5" s="53">
        <f>SUM('DOE25'!K197:K200)+SUM('DOE25'!K215:K218)+SUM('DOE25'!K233:K236)</f>
        <v>287.5</v>
      </c>
      <c r="I5" s="256"/>
    </row>
    <row r="6" spans="1:9" x14ac:dyDescent="0.2">
      <c r="A6" s="32">
        <v>2100</v>
      </c>
      <c r="B6" t="s">
        <v>796</v>
      </c>
      <c r="C6" s="276">
        <f t="shared" si="0"/>
        <v>433425.13</v>
      </c>
      <c r="D6" s="20">
        <f>'DOE25'!L202+'DOE25'!L220+'DOE25'!L238-F6-G6-H6</f>
        <v>433296.13</v>
      </c>
      <c r="E6" s="243"/>
      <c r="F6" s="244"/>
      <c r="G6" s="53">
        <f>'DOE25'!J202+'DOE25'!J220+'DOE25'!J238</f>
        <v>0</v>
      </c>
      <c r="H6" s="53">
        <f>'DOE25'!K202+'DOE25'!K220+'DOE25'!K238</f>
        <v>129</v>
      </c>
      <c r="I6" s="256"/>
    </row>
    <row r="7" spans="1:9" x14ac:dyDescent="0.2">
      <c r="A7" s="32">
        <v>2200</v>
      </c>
      <c r="B7" t="s">
        <v>821</v>
      </c>
      <c r="C7" s="276">
        <f t="shared" si="0"/>
        <v>125723.81999999999</v>
      </c>
      <c r="D7" s="20">
        <f>'DOE25'!L203+'DOE25'!L221+'DOE25'!L239-F7-G7-H7</f>
        <v>125723.81999999999</v>
      </c>
      <c r="E7" s="243"/>
      <c r="F7" s="244"/>
      <c r="G7" s="53">
        <f>'DOE25'!J203+'DOE25'!J221+'DOE25'!J239</f>
        <v>0</v>
      </c>
      <c r="H7" s="53">
        <f>'DOE25'!K203+'DOE25'!K221+'DOE25'!K239</f>
        <v>0</v>
      </c>
      <c r="I7" s="256"/>
    </row>
    <row r="8" spans="1:9" x14ac:dyDescent="0.2">
      <c r="A8" s="32">
        <v>2300</v>
      </c>
      <c r="B8" t="s">
        <v>797</v>
      </c>
      <c r="C8" s="276">
        <f t="shared" si="0"/>
        <v>195294.2</v>
      </c>
      <c r="D8" s="243"/>
      <c r="E8" s="20">
        <f>'DOE25'!L204+'DOE25'!L222+'DOE25'!L240-F8-G8-H8-D9-D11</f>
        <v>191938.59000000003</v>
      </c>
      <c r="F8" s="244"/>
      <c r="G8" s="53">
        <f>'DOE25'!J204+'DOE25'!J222+'DOE25'!J240</f>
        <v>0</v>
      </c>
      <c r="H8" s="53">
        <f>'DOE25'!K204+'DOE25'!K222+'DOE25'!K240</f>
        <v>3355.61</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236300.12</v>
      </c>
      <c r="D12" s="20">
        <f>'DOE25'!L205+'DOE25'!L223+'DOE25'!L241-F12-G12-H12</f>
        <v>234757.12</v>
      </c>
      <c r="E12" s="243"/>
      <c r="F12" s="244"/>
      <c r="G12" s="53">
        <f>'DOE25'!J205+'DOE25'!J223+'DOE25'!J241</f>
        <v>659</v>
      </c>
      <c r="H12" s="53">
        <f>'DOE25'!K205+'DOE25'!K223+'DOE25'!K241</f>
        <v>884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299147.83</v>
      </c>
      <c r="D14" s="20">
        <f>'DOE25'!L207+'DOE25'!L225+'DOE25'!L243-F14-G14-H14</f>
        <v>278210.63</v>
      </c>
      <c r="E14" s="243"/>
      <c r="F14" s="244"/>
      <c r="G14" s="53">
        <f>'DOE25'!J207+'DOE25'!J225+'DOE25'!J243</f>
        <v>20937.2</v>
      </c>
      <c r="H14" s="53">
        <f>'DOE25'!K207+'DOE25'!K225+'DOE25'!K243</f>
        <v>0</v>
      </c>
      <c r="I14" s="256"/>
    </row>
    <row r="15" spans="1:9" x14ac:dyDescent="0.2">
      <c r="A15" s="32">
        <v>2700</v>
      </c>
      <c r="B15" t="s">
        <v>799</v>
      </c>
      <c r="C15" s="276">
        <f t="shared" si="0"/>
        <v>218275.27999999997</v>
      </c>
      <c r="D15" s="20">
        <f>'DOE25'!L208+'DOE25'!L226+'DOE25'!L244-F15-G15-H15</f>
        <v>218275.27999999997</v>
      </c>
      <c r="E15" s="243"/>
      <c r="F15" s="244"/>
      <c r="G15" s="53">
        <f>'DOE25'!J208+'DOE25'!J226+'DOE25'!J244</f>
        <v>0</v>
      </c>
      <c r="H15" s="53">
        <f>'DOE25'!K208+'DOE25'!K226+'DOE25'!K244</f>
        <v>0</v>
      </c>
      <c r="I15" s="256"/>
    </row>
    <row r="16" spans="1:9" x14ac:dyDescent="0.2">
      <c r="A16" s="32">
        <v>2800</v>
      </c>
      <c r="B16" t="s">
        <v>800</v>
      </c>
      <c r="C16" s="276">
        <f t="shared" si="0"/>
        <v>55945.490000000005</v>
      </c>
      <c r="D16" s="243"/>
      <c r="E16" s="20">
        <f>'DOE25'!L209+'DOE25'!L227+'DOE25'!L245-F16-G16-H16</f>
        <v>44882.880000000005</v>
      </c>
      <c r="F16" s="244"/>
      <c r="G16" s="53">
        <f>'DOE25'!J209+'DOE25'!J227+'DOE25'!J245</f>
        <v>11062.61</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46669.74</v>
      </c>
      <c r="D29" s="284">
        <f>'DOE25'!L358+'DOE25'!L359+'DOE25'!L360-'DOE25'!I367-F29-G29-H29</f>
        <v>46469.74</v>
      </c>
      <c r="E29" s="243"/>
      <c r="F29" s="244"/>
      <c r="G29" s="53">
        <f>'DOE25'!J358+'DOE25'!J359+'DOE25'!J360</f>
        <v>0</v>
      </c>
      <c r="H29" s="53">
        <f>'DOE25'!K358+'DOE25'!K359+'DOE25'!K360</f>
        <v>200</v>
      </c>
      <c r="I29" s="256"/>
    </row>
    <row r="30" spans="1:9" x14ac:dyDescent="0.2">
      <c r="A30" s="32"/>
      <c r="C30" s="277"/>
      <c r="D30" s="20"/>
      <c r="E30" s="281"/>
      <c r="F30" s="271"/>
      <c r="G30" s="53"/>
      <c r="H30" s="53"/>
      <c r="I30" s="256"/>
    </row>
    <row r="31" spans="1:9" x14ac:dyDescent="0.2">
      <c r="A31" s="32" t="s">
        <v>818</v>
      </c>
      <c r="B31" t="s">
        <v>817</v>
      </c>
      <c r="C31" s="276">
        <f>SUM(D31:I31)</f>
        <v>114850.29999999999</v>
      </c>
      <c r="D31" s="20">
        <f>'DOE25'!L290+'DOE25'!L309+'DOE25'!L328+'DOE25'!L333+'DOE25'!L334+'DOE25'!L335-F31-G31-H31</f>
        <v>114850.29999999999</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4266595.46</v>
      </c>
      <c r="E33" s="245">
        <f t="shared" si="1"/>
        <v>236821.47000000003</v>
      </c>
      <c r="F33" s="245">
        <f t="shared" si="1"/>
        <v>0</v>
      </c>
      <c r="G33" s="245">
        <f t="shared" si="1"/>
        <v>60903.33</v>
      </c>
      <c r="H33" s="245">
        <f t="shared" si="1"/>
        <v>4856.1100000000006</v>
      </c>
      <c r="I33" s="245">
        <f t="shared" si="1"/>
        <v>0</v>
      </c>
    </row>
    <row r="35" spans="1:9" ht="12" thickBot="1" x14ac:dyDescent="0.25">
      <c r="B35" s="251" t="s">
        <v>831</v>
      </c>
      <c r="D35" s="252">
        <f>E33</f>
        <v>236821.47000000003</v>
      </c>
      <c r="E35" s="248"/>
    </row>
    <row r="36" spans="1:9" ht="12" thickTop="1" x14ac:dyDescent="0.2">
      <c r="B36" t="s">
        <v>810</v>
      </c>
      <c r="D36" s="20">
        <f>D33</f>
        <v>4266595.46</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N23" sqref="N23"/>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Mont Vernon School District</v>
      </c>
      <c r="B2" s="126">
        <f>'DOE25'!B2</f>
        <v>367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3501563.17</v>
      </c>
      <c r="G4" s="303">
        <f>'DOE25'!L211+'DOE25'!L290</f>
        <v>3501563.17</v>
      </c>
      <c r="H4" s="304">
        <f>F4-G4</f>
        <v>0</v>
      </c>
      <c r="I4" s="310" t="str">
        <f>IF(H4=0,"","Does not match DOE25 page 7 and 11 Totals!!")</f>
        <v/>
      </c>
      <c r="N4"/>
    </row>
    <row r="5" spans="1:18" x14ac:dyDescent="0.2">
      <c r="A5" s="21" t="s">
        <v>1303</v>
      </c>
      <c r="B5" s="305">
        <f>IFERROR(VLOOKUP(A5,'School Tables'!$C$3:$D$368,2,FALSE),"")</f>
        <v>21790</v>
      </c>
      <c r="C5" s="297" t="str">
        <f>IFERROR(INDEX('School Tables'!$B$3:$B$368,MATCH('School Level Expenditures'!B5,'School Tables'!$D$3:$D$368,0)),"")</f>
        <v>Mont Vernon</v>
      </c>
      <c r="D5" s="294">
        <f>'DOE25'!L211-'DOE25'!F169</f>
        <v>3384403.46</v>
      </c>
      <c r="E5" s="294">
        <f>'DOE25'!L290+'DOE25'!F162</f>
        <v>117159.70999999999</v>
      </c>
      <c r="F5" s="313">
        <f>D5+E5</f>
        <v>3501563.17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1020943.4599999998</v>
      </c>
      <c r="G24" s="303">
        <f>'DOE25'!L229+'DOE25'!L309</f>
        <v>1020943.4599999998</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f>'DOE25'!L229</f>
        <v>1020943.4599999998</v>
      </c>
      <c r="E25" s="294"/>
      <c r="F25" s="308">
        <f>D25+E25</f>
        <v>1020943.4599999998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4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Mont Vernon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708408.83</v>
      </c>
      <c r="D8" s="95">
        <f>'DOE25'!G9</f>
        <v>0</v>
      </c>
      <c r="E8" s="95">
        <f>'DOE25'!H9</f>
        <v>0</v>
      </c>
      <c r="F8" s="95">
        <f>'DOE25'!I9</f>
        <v>0</v>
      </c>
      <c r="G8" s="95">
        <f>'DOE25'!J9</f>
        <v>11954.28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22956.73</v>
      </c>
      <c r="D11" s="95">
        <f>'DOE25'!G12</f>
        <v>9647.9599999999991</v>
      </c>
      <c r="E11" s="95">
        <f>'DOE25'!H12</f>
        <v>0</v>
      </c>
      <c r="F11" s="95">
        <f>'DOE25'!I12</f>
        <v>0</v>
      </c>
      <c r="G11" s="95">
        <f>'DOE25'!J12</f>
        <v>0</v>
      </c>
      <c r="H11" s="124"/>
      <c r="I11" s="124"/>
    </row>
    <row r="12" spans="1:9" x14ac:dyDescent="0.2">
      <c r="A12" s="1" t="s">
        <v>143</v>
      </c>
      <c r="B12" s="6">
        <v>140</v>
      </c>
      <c r="C12" s="95">
        <f>'DOE25'!F13</f>
        <v>832.87</v>
      </c>
      <c r="D12" s="95">
        <f>'DOE25'!G13</f>
        <v>2711.25</v>
      </c>
      <c r="E12" s="95">
        <f>'DOE25'!H13</f>
        <v>33104.69</v>
      </c>
      <c r="F12" s="95">
        <f>'DOE25'!I13</f>
        <v>0</v>
      </c>
      <c r="G12" s="95">
        <f>'DOE25'!J13</f>
        <v>271035.17</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732198.42999999993</v>
      </c>
      <c r="D18" s="41">
        <f>SUM(D8:D17)</f>
        <v>12359.21</v>
      </c>
      <c r="E18" s="41">
        <f>SUM(E8:E17)</f>
        <v>33104.69</v>
      </c>
      <c r="F18" s="41">
        <f>SUM(F8:F17)</f>
        <v>0</v>
      </c>
      <c r="G18" s="41">
        <f>SUM(G8:G17)</f>
        <v>282989.45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32604.69</v>
      </c>
      <c r="F21" s="95">
        <f>'DOE25'!I22</f>
        <v>0</v>
      </c>
      <c r="G21" s="95">
        <f>'DOE25'!J22</f>
        <v>0</v>
      </c>
      <c r="H21" s="124"/>
      <c r="I21" s="124"/>
    </row>
    <row r="22" spans="1:9" x14ac:dyDescent="0.2">
      <c r="A22" s="1" t="s">
        <v>151</v>
      </c>
      <c r="B22" s="6">
        <v>410</v>
      </c>
      <c r="C22" s="95">
        <f>'DOE25'!F23</f>
        <v>81216.55</v>
      </c>
      <c r="D22" s="95">
        <f>'DOE25'!G23</f>
        <v>2952.45</v>
      </c>
      <c r="E22" s="95">
        <f>'DOE25'!H23</f>
        <v>0</v>
      </c>
      <c r="F22" s="95">
        <f>'DOE25'!I23</f>
        <v>0</v>
      </c>
      <c r="G22" s="95">
        <f>'DOE25'!J23</f>
        <v>0</v>
      </c>
      <c r="H22" s="124"/>
      <c r="I22" s="124"/>
    </row>
    <row r="23" spans="1:9" x14ac:dyDescent="0.2">
      <c r="A23" s="1" t="s">
        <v>152</v>
      </c>
      <c r="B23" s="6">
        <v>420</v>
      </c>
      <c r="C23" s="95">
        <f>'DOE25'!F24</f>
        <v>25691.69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6647.53</v>
      </c>
      <c r="D27" s="95">
        <f>'DOE25'!G28</f>
        <v>0</v>
      </c>
      <c r="E27" s="95">
        <f>'DOE25'!H28</f>
        <v>0</v>
      </c>
      <c r="F27" s="95">
        <f>'DOE25'!I28</f>
        <v>0</v>
      </c>
      <c r="G27" s="24" t="s">
        <v>288</v>
      </c>
      <c r="H27" s="124"/>
      <c r="I27" s="124"/>
    </row>
    <row r="28" spans="1:9" x14ac:dyDescent="0.2">
      <c r="A28" s="1" t="s">
        <v>157</v>
      </c>
      <c r="B28" s="6">
        <v>470</v>
      </c>
      <c r="C28" s="95">
        <f>'DOE25'!F29</f>
        <v>6942.68</v>
      </c>
      <c r="D28" s="95">
        <f>'DOE25'!G29</f>
        <v>0</v>
      </c>
      <c r="E28" s="95">
        <f>'DOE25'!H29</f>
        <v>0</v>
      </c>
      <c r="F28" s="95">
        <f>'DOE25'!I29</f>
        <v>0</v>
      </c>
      <c r="G28" s="24" t="s">
        <v>288</v>
      </c>
      <c r="H28" s="124"/>
      <c r="I28" s="124"/>
    </row>
    <row r="29" spans="1:9" x14ac:dyDescent="0.2">
      <c r="A29" s="1" t="s">
        <v>158</v>
      </c>
      <c r="B29" s="6">
        <v>480</v>
      </c>
      <c r="C29" s="95">
        <f>'DOE25'!F30</f>
        <v>400.48</v>
      </c>
      <c r="D29" s="95">
        <f>'DOE25'!G30</f>
        <v>2682.34</v>
      </c>
      <c r="E29" s="95">
        <f>'DOE25'!H30</f>
        <v>500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11954.28</v>
      </c>
      <c r="H30" s="124"/>
      <c r="I30" s="124"/>
    </row>
    <row r="31" spans="1:9" ht="12" thickTop="1" x14ac:dyDescent="0.2">
      <c r="A31" s="38" t="s">
        <v>160</v>
      </c>
      <c r="B31" s="2"/>
      <c r="C31" s="41">
        <f>SUM(C21:C30)</f>
        <v>120898.93000000001</v>
      </c>
      <c r="D31" s="41">
        <f>SUM(D21:D30)</f>
        <v>5634.79</v>
      </c>
      <c r="E31" s="41">
        <f>SUM(E21:E30)</f>
        <v>33104.69</v>
      </c>
      <c r="F31" s="41">
        <f>SUM(F21:F30)</f>
        <v>0</v>
      </c>
      <c r="G31" s="41">
        <f>SUM(G21:G30)</f>
        <v>11954.28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6724.42</v>
      </c>
      <c r="E47" s="95">
        <f>'DOE25'!H48</f>
        <v>0</v>
      </c>
      <c r="F47" s="95">
        <f>'DOE25'!I48</f>
        <v>0</v>
      </c>
      <c r="G47" s="95">
        <f>'DOE25'!J48</f>
        <v>271035.17</v>
      </c>
      <c r="H47" s="124"/>
      <c r="I47" s="124"/>
    </row>
    <row r="48" spans="1:9" x14ac:dyDescent="0.2">
      <c r="A48" s="1" t="s">
        <v>882</v>
      </c>
      <c r="B48" s="6">
        <v>753</v>
      </c>
      <c r="C48" s="95">
        <f>'DOE25'!F49</f>
        <v>47480.22</v>
      </c>
      <c r="D48" s="95">
        <f>'DOE25'!G49</f>
        <v>0</v>
      </c>
      <c r="E48" s="95">
        <f>'DOE25'!H49</f>
        <v>0</v>
      </c>
      <c r="F48" s="95">
        <f>'DOE25'!I49</f>
        <v>0</v>
      </c>
      <c r="G48" s="95">
        <f>'DOE25'!J49</f>
        <v>0</v>
      </c>
      <c r="H48" s="124"/>
      <c r="I48" s="124"/>
    </row>
    <row r="49" spans="1:9" ht="12" thickBot="1" x14ac:dyDescent="0.25">
      <c r="A49" s="29" t="s">
        <v>883</v>
      </c>
      <c r="B49" s="71">
        <v>770</v>
      </c>
      <c r="C49" s="95">
        <f>'DOE25'!F50</f>
        <v>513819.28000000009</v>
      </c>
      <c r="D49" s="24" t="s">
        <v>288</v>
      </c>
      <c r="E49" s="24" t="s">
        <v>288</v>
      </c>
      <c r="F49" s="24" t="s">
        <v>288</v>
      </c>
      <c r="G49" s="24" t="s">
        <v>288</v>
      </c>
      <c r="H49" s="124"/>
      <c r="I49" s="124"/>
    </row>
    <row r="50" spans="1:9" ht="12.75" thickTop="1" thickBot="1" x14ac:dyDescent="0.25">
      <c r="A50" s="38" t="s">
        <v>884</v>
      </c>
      <c r="B50" s="48"/>
      <c r="C50" s="41">
        <f>SUM(C34:C49)</f>
        <v>611299.50000000012</v>
      </c>
      <c r="D50" s="41">
        <f>SUM(D34:D49)</f>
        <v>6724.42</v>
      </c>
      <c r="E50" s="41">
        <f>SUM(E34:E49)</f>
        <v>0</v>
      </c>
      <c r="F50" s="41">
        <f>SUM(F34:F49)</f>
        <v>0</v>
      </c>
      <c r="G50" s="41">
        <f>SUM(G34:G49)</f>
        <v>271035.17</v>
      </c>
      <c r="H50" s="124"/>
      <c r="I50" s="124"/>
    </row>
    <row r="51" spans="1:9" ht="12" thickTop="1" x14ac:dyDescent="0.2">
      <c r="A51" s="38" t="s">
        <v>885</v>
      </c>
      <c r="B51" s="2"/>
      <c r="C51" s="41">
        <f>C50+C31</f>
        <v>732198.43000000017</v>
      </c>
      <c r="D51" s="41">
        <f>D50+D31</f>
        <v>12359.21</v>
      </c>
      <c r="E51" s="41">
        <f>E50+E31</f>
        <v>33104.69</v>
      </c>
      <c r="F51" s="41">
        <f>F50+F31</f>
        <v>0</v>
      </c>
      <c r="G51" s="41">
        <f>G50+G31</f>
        <v>282989.45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3684620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6630.9</v>
      </c>
      <c r="D59" s="95">
        <f>'DOE25'!G96</f>
        <v>0</v>
      </c>
      <c r="E59" s="95">
        <f>'DOE25'!H96</f>
        <v>0</v>
      </c>
      <c r="F59" s="95">
        <f>'DOE25'!I96</f>
        <v>0</v>
      </c>
      <c r="G59" s="95">
        <f>'DOE25'!J96</f>
        <v>5797.28</v>
      </c>
      <c r="H59"/>
      <c r="I59"/>
    </row>
    <row r="60" spans="1:9" x14ac:dyDescent="0.2">
      <c r="A60" s="1" t="s">
        <v>170</v>
      </c>
      <c r="B60" s="118" t="s">
        <v>171</v>
      </c>
      <c r="C60" s="24" t="s">
        <v>288</v>
      </c>
      <c r="D60" s="95">
        <f>'DOE25'!G97</f>
        <v>51790.41</v>
      </c>
      <c r="E60" s="24" t="s">
        <v>288</v>
      </c>
      <c r="F60" s="24" t="s">
        <v>288</v>
      </c>
      <c r="G60" s="24" t="s">
        <v>288</v>
      </c>
      <c r="H60"/>
      <c r="I60"/>
    </row>
    <row r="61" spans="1:9" ht="12" thickBot="1" x14ac:dyDescent="0.25">
      <c r="A61" s="1" t="s">
        <v>172</v>
      </c>
      <c r="B61" s="118" t="s">
        <v>173</v>
      </c>
      <c r="C61" s="95">
        <f>SUM('DOE25'!F98:F110)</f>
        <v>5148.7299999999996</v>
      </c>
      <c r="D61" s="95">
        <f>SUM('DOE25'!G98:G110)</f>
        <v>108.48</v>
      </c>
      <c r="E61" s="95">
        <f>SUM('DOE25'!H98:H110)</f>
        <v>0</v>
      </c>
      <c r="F61" s="95">
        <f>SUM('DOE25'!I98:I110)</f>
        <v>0</v>
      </c>
      <c r="G61" s="95">
        <f>SUM('DOE25'!J98:J110)</f>
        <v>528</v>
      </c>
      <c r="H61"/>
      <c r="I61"/>
    </row>
    <row r="62" spans="1:9" ht="12.75" thickTop="1" thickBot="1" x14ac:dyDescent="0.25">
      <c r="A62" s="29" t="s">
        <v>174</v>
      </c>
      <c r="B62" s="6"/>
      <c r="C62" s="130">
        <f>SUM(C57:C61)</f>
        <v>11779.63</v>
      </c>
      <c r="D62" s="130">
        <f>SUM(D57:D61)</f>
        <v>51898.890000000007</v>
      </c>
      <c r="E62" s="130">
        <f>SUM(E57:E61)</f>
        <v>0</v>
      </c>
      <c r="F62" s="130">
        <f>SUM(F57:F61)</f>
        <v>0</v>
      </c>
      <c r="G62" s="130">
        <f>SUM(G57:G61)</f>
        <v>6325.28</v>
      </c>
      <c r="H62"/>
      <c r="I62"/>
    </row>
    <row r="63" spans="1:9" ht="12" thickTop="1" x14ac:dyDescent="0.2">
      <c r="A63" s="29" t="s">
        <v>175</v>
      </c>
      <c r="B63" s="6"/>
      <c r="C63" s="22">
        <f>C56+C62</f>
        <v>3696399.63</v>
      </c>
      <c r="D63" s="22">
        <f>D56+D62</f>
        <v>51898.890000000007</v>
      </c>
      <c r="E63" s="22">
        <f>E56+E62</f>
        <v>0</v>
      </c>
      <c r="F63" s="22">
        <f>F56+F62</f>
        <v>0</v>
      </c>
      <c r="G63" s="22">
        <f>G56+G62</f>
        <v>6325.28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762022.05</v>
      </c>
      <c r="D66" s="24" t="s">
        <v>288</v>
      </c>
      <c r="E66" s="24" t="s">
        <v>288</v>
      </c>
      <c r="F66" s="24" t="s">
        <v>288</v>
      </c>
      <c r="G66" s="24" t="s">
        <v>288</v>
      </c>
      <c r="H66"/>
      <c r="I66"/>
    </row>
    <row r="67" spans="1:9" x14ac:dyDescent="0.2">
      <c r="A67" s="1" t="s">
        <v>770</v>
      </c>
      <c r="B67" s="6">
        <v>3112</v>
      </c>
      <c r="C67" s="95">
        <f>'DOE25'!F118</f>
        <v>339434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1101456.05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33417.230000000003</v>
      </c>
      <c r="D74" s="24"/>
      <c r="E74" s="24"/>
      <c r="F74" s="24"/>
      <c r="G74" s="24"/>
      <c r="H74"/>
      <c r="I74"/>
    </row>
    <row r="75" spans="1:9" x14ac:dyDescent="0.2">
      <c r="A75" s="1" t="s">
        <v>256</v>
      </c>
      <c r="B75" s="6">
        <v>3230</v>
      </c>
      <c r="C75" s="95">
        <f>'DOE25'!F126</f>
        <v>25095.29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975.48</v>
      </c>
      <c r="E77" s="95">
        <f>SUM('DOE25'!H131:H135)</f>
        <v>0</v>
      </c>
      <c r="F77" s="95">
        <f>SUM('DOE25'!I131:I135)</f>
        <v>0</v>
      </c>
      <c r="G77" s="95">
        <f>SUM('DOE25'!J131:J135)</f>
        <v>0</v>
      </c>
      <c r="H77"/>
      <c r="I77"/>
    </row>
    <row r="78" spans="1:9" ht="12.75" thickTop="1" thickBot="1" x14ac:dyDescent="0.25">
      <c r="A78" s="29" t="s">
        <v>259</v>
      </c>
      <c r="B78" s="6"/>
      <c r="C78" s="130">
        <f>SUM(C72:C77)</f>
        <v>58512.520000000004</v>
      </c>
      <c r="D78" s="130">
        <f>SUM(D72:D77)</f>
        <v>975.48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1159968.57</v>
      </c>
      <c r="D81" s="130">
        <f>SUM(D79:D80)+D78+D70</f>
        <v>975.48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15068.78</v>
      </c>
      <c r="F87" s="95">
        <f>SUM('DOE25'!I149:I152)</f>
        <v>0</v>
      </c>
      <c r="G87" s="24" t="s">
        <v>288</v>
      </c>
    </row>
    <row r="88" spans="1:9" x14ac:dyDescent="0.2">
      <c r="A88" t="s">
        <v>747</v>
      </c>
      <c r="B88" s="32" t="s">
        <v>184</v>
      </c>
      <c r="C88" s="95">
        <f>SUM('DOE25'!F153:F161)</f>
        <v>2309.41</v>
      </c>
      <c r="D88" s="95">
        <f>SUM('DOE25'!G153:G161)</f>
        <v>14981.37</v>
      </c>
      <c r="E88" s="95">
        <f>SUM('DOE25'!H153:H161)</f>
        <v>99781.51999999999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2309.41</v>
      </c>
      <c r="D91" s="131">
        <f>SUM(D85:D90)</f>
        <v>14981.37</v>
      </c>
      <c r="E91" s="131">
        <f>SUM(E85:E90)</f>
        <v>114850.29999999999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4858677.6100000003</v>
      </c>
      <c r="D104" s="86">
        <f>D63+D81+D91+D103</f>
        <v>67855.740000000005</v>
      </c>
      <c r="E104" s="86">
        <f>E63+E81+E91+E103</f>
        <v>114850.29999999999</v>
      </c>
      <c r="F104" s="86">
        <f>F63+F81+F91+F103</f>
        <v>0</v>
      </c>
      <c r="G104" s="86">
        <f>G63+G81+G103</f>
        <v>56325.279999999999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2401276.56</v>
      </c>
      <c r="D109" s="24" t="s">
        <v>288</v>
      </c>
      <c r="E109" s="95">
        <f>('DOE25'!L276)+('DOE25'!L295)+('DOE25'!L314)</f>
        <v>17226.939999999999</v>
      </c>
      <c r="F109" s="24" t="s">
        <v>288</v>
      </c>
      <c r="G109" s="24" t="s">
        <v>288</v>
      </c>
    </row>
    <row r="110" spans="1:7" x14ac:dyDescent="0.2">
      <c r="A110" t="s">
        <v>198</v>
      </c>
      <c r="B110" s="32" t="s">
        <v>199</v>
      </c>
      <c r="C110" s="95">
        <f>('DOE25'!L198)+('DOE25'!L216)+('DOE25'!L234)</f>
        <v>430738.94</v>
      </c>
      <c r="D110" s="24" t="s">
        <v>288</v>
      </c>
      <c r="E110" s="95">
        <f>('DOE25'!L277)+('DOE25'!L296)+('DOE25'!L315)</f>
        <v>57493.9</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11528.96</v>
      </c>
      <c r="D112" s="24" t="s">
        <v>288</v>
      </c>
      <c r="E112" s="95">
        <f>+('DOE25'!L279)+('DOE25'!L298)+('DOE25'!L317)</f>
        <v>17796.45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2843544.46</v>
      </c>
      <c r="D115" s="86">
        <f>SUM(D109:D114)</f>
        <v>0</v>
      </c>
      <c r="E115" s="86">
        <f>SUM(E109:E114)</f>
        <v>92517.29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433425.13</v>
      </c>
      <c r="D118" s="24" t="s">
        <v>288</v>
      </c>
      <c r="E118" s="95">
        <f>+('DOE25'!L281)+('DOE25'!L300)+('DOE25'!L319)</f>
        <v>1750</v>
      </c>
      <c r="F118" s="24" t="s">
        <v>288</v>
      </c>
      <c r="G118" s="24" t="s">
        <v>288</v>
      </c>
    </row>
    <row r="119" spans="1:7" x14ac:dyDescent="0.2">
      <c r="A119" t="s">
        <v>208</v>
      </c>
      <c r="B119" s="32" t="s">
        <v>209</v>
      </c>
      <c r="C119" s="95">
        <f>('DOE25'!L203)+('DOE25'!L221)+('DOE25'!L239)</f>
        <v>125723.81999999999</v>
      </c>
      <c r="D119" s="24" t="s">
        <v>288</v>
      </c>
      <c r="E119" s="95">
        <f>+('DOE25'!L282)+('DOE25'!L301)+('DOE25'!L320)</f>
        <v>20550.169999999998</v>
      </c>
      <c r="F119" s="24" t="s">
        <v>288</v>
      </c>
      <c r="G119" s="24" t="s">
        <v>288</v>
      </c>
    </row>
    <row r="120" spans="1:7" x14ac:dyDescent="0.2">
      <c r="A120" t="s">
        <v>210</v>
      </c>
      <c r="B120" s="32" t="s">
        <v>211</v>
      </c>
      <c r="C120" s="95">
        <f>('DOE25'!L204)+('DOE25'!L222)+('DOE25'!L240)</f>
        <v>195294.2</v>
      </c>
      <c r="D120" s="24" t="s">
        <v>288</v>
      </c>
      <c r="E120" s="95">
        <f>+('DOE25'!L283)+('DOE25'!L302)+('DOE25'!L321)</f>
        <v>0</v>
      </c>
      <c r="F120" s="24" t="s">
        <v>288</v>
      </c>
      <c r="G120" s="24" t="s">
        <v>288</v>
      </c>
    </row>
    <row r="121" spans="1:7" x14ac:dyDescent="0.2">
      <c r="A121" t="s">
        <v>212</v>
      </c>
      <c r="B121" s="32" t="s">
        <v>213</v>
      </c>
      <c r="C121" s="95">
        <f>('DOE25'!L205)+('DOE25'!L223)+('DOE25'!L241)</f>
        <v>236300.12</v>
      </c>
      <c r="D121" s="24" t="s">
        <v>288</v>
      </c>
      <c r="E121" s="95">
        <f>+('DOE25'!L284)+('DOE25'!L303)+('DOE25'!L322)</f>
        <v>32.840000000000003</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299147.83</v>
      </c>
      <c r="D123" s="24" t="s">
        <v>288</v>
      </c>
      <c r="E123" s="95">
        <f>+('DOE25'!L286)+('DOE25'!L305)+('DOE25'!L324)</f>
        <v>0</v>
      </c>
      <c r="F123" s="24" t="s">
        <v>288</v>
      </c>
      <c r="G123" s="24" t="s">
        <v>288</v>
      </c>
    </row>
    <row r="124" spans="1:7" x14ac:dyDescent="0.2">
      <c r="A124" t="s">
        <v>218</v>
      </c>
      <c r="B124" s="32" t="s">
        <v>219</v>
      </c>
      <c r="C124" s="95">
        <f>('DOE25'!L208)+('DOE25'!L226)+('DOE25'!L244+'DOE25'!L254)</f>
        <v>218275.27999999997</v>
      </c>
      <c r="D124" s="24" t="s">
        <v>288</v>
      </c>
      <c r="E124" s="95">
        <f>+('DOE25'!L287)+('DOE25'!L306)+('DOE25'!L325)</f>
        <v>0</v>
      </c>
      <c r="F124" s="24" t="s">
        <v>288</v>
      </c>
      <c r="G124" s="24" t="s">
        <v>288</v>
      </c>
    </row>
    <row r="125" spans="1:7" x14ac:dyDescent="0.2">
      <c r="A125" t="s">
        <v>220</v>
      </c>
      <c r="B125" s="32" t="s">
        <v>221</v>
      </c>
      <c r="C125" s="95">
        <f>('DOE25'!L209)+('DOE25'!L227)+('DOE25'!L245)</f>
        <v>55945.490000000005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75106.09</v>
      </c>
      <c r="E127" s="24" t="s">
        <v>288</v>
      </c>
      <c r="F127" s="24" t="s">
        <v>288</v>
      </c>
      <c r="G127" s="24" t="s">
        <v>288</v>
      </c>
    </row>
    <row r="128" spans="1:7" ht="12.75" thickTop="1" thickBot="1" x14ac:dyDescent="0.25">
      <c r="A128" s="33" t="s">
        <v>226</v>
      </c>
      <c r="C128" s="86">
        <f>SUM(C118:C127)</f>
        <v>1564111.8699999999</v>
      </c>
      <c r="D128" s="86">
        <f>SUM(D118:D127)</f>
        <v>75106.09</v>
      </c>
      <c r="E128" s="86">
        <f>SUM(E118:E127)</f>
        <v>22333.01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55797.279999999999</v>
      </c>
      <c r="D139" s="24" t="s">
        <v>288</v>
      </c>
      <c r="E139" s="24" t="s">
        <v>288</v>
      </c>
      <c r="F139" s="24" t="s">
        <v>288</v>
      </c>
      <c r="G139" s="24" t="s">
        <v>288</v>
      </c>
    </row>
    <row r="140" spans="1:7" x14ac:dyDescent="0.2">
      <c r="A140" t="s">
        <v>240</v>
      </c>
      <c r="B140" s="32">
        <v>5253</v>
      </c>
      <c r="C140" s="95">
        <f>'DOE25'!L407</f>
        <v>528</v>
      </c>
      <c r="D140" s="24" t="s">
        <v>288</v>
      </c>
      <c r="E140" s="24" t="s">
        <v>288</v>
      </c>
      <c r="F140" s="24" t="s">
        <v>288</v>
      </c>
      <c r="G140" s="24" t="s">
        <v>288</v>
      </c>
    </row>
    <row r="141" spans="1:7" x14ac:dyDescent="0.2">
      <c r="A141" t="s">
        <v>762</v>
      </c>
      <c r="B141" s="32">
        <v>5254</v>
      </c>
      <c r="C141" s="95">
        <f>('DOE25'!L266+'DOE25'!K347) - (C138+C139+C140)</f>
        <v>-6325.2799999999988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50000</v>
      </c>
      <c r="D144" s="141">
        <f>SUM(D130:D143)</f>
        <v>0</v>
      </c>
      <c r="E144" s="141">
        <f>SUM(E130:E143)</f>
        <v>0</v>
      </c>
      <c r="F144" s="141">
        <f>SUM(F130:F143)</f>
        <v>0</v>
      </c>
      <c r="G144" s="141">
        <f>SUM(G130:G143)</f>
        <v>0</v>
      </c>
    </row>
    <row r="145" spans="1:9" ht="12.75" thickTop="1" thickBot="1" x14ac:dyDescent="0.25">
      <c r="A145" s="33" t="s">
        <v>244</v>
      </c>
      <c r="C145" s="86">
        <f>(C115+C128+C144)</f>
        <v>4457656.33</v>
      </c>
      <c r="D145" s="86">
        <f>(D115+D128+D144)</f>
        <v>75106.09</v>
      </c>
      <c r="E145" s="86">
        <f>(E115+E128+E144)</f>
        <v>114850.29999999999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8" sqref="C4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Mont Vernon School District</v>
      </c>
    </row>
    <row r="3" spans="1:4" x14ac:dyDescent="0.2">
      <c r="B3" s="188" t="s">
        <v>1602</v>
      </c>
    </row>
    <row r="4" spans="1:4" x14ac:dyDescent="0.2">
      <c r="B4" t="s">
        <v>61</v>
      </c>
      <c r="C4" s="179">
        <f>IF('DOE25'!F665+'DOE25'!F670=0,0,ROUND('DOE25'!F672,0))</f>
        <v>17837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17837</v>
      </c>
    </row>
    <row r="9" spans="1:4" x14ac:dyDescent="0.2">
      <c r="A9" s="187" t="s">
        <v>94</v>
      </c>
      <c r="B9" s="188" t="s">
        <v>1603</v>
      </c>
      <c r="C9" s="181" t="s">
        <v>720</v>
      </c>
      <c r="D9" s="181" t="s">
        <v>721</v>
      </c>
    </row>
    <row r="10" spans="1:4" x14ac:dyDescent="0.2">
      <c r="A10">
        <v>1100</v>
      </c>
      <c r="B10" t="s">
        <v>702</v>
      </c>
      <c r="C10" s="179">
        <f>ROUND('DOE25'!L197+'DOE25'!L215+'DOE25'!L233+'DOE25'!L276+'DOE25'!L295+'DOE25'!L314,0)</f>
        <v>2418504</v>
      </c>
      <c r="D10" s="182">
        <f>ROUND((C10/$C$28)*100,1)</f>
        <v>53.2</v>
      </c>
    </row>
    <row r="11" spans="1:4" x14ac:dyDescent="0.2">
      <c r="A11">
        <v>1200</v>
      </c>
      <c r="B11" t="s">
        <v>703</v>
      </c>
      <c r="C11" s="179">
        <f>ROUND('DOE25'!L198+'DOE25'!L216+'DOE25'!L234+'DOE25'!L277+'DOE25'!L296+'DOE25'!L315,0)</f>
        <v>488233</v>
      </c>
      <c r="D11" s="182">
        <f>ROUND((C11/$C$28)*100,1)</f>
        <v>10.7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29325</v>
      </c>
      <c r="D13" s="182">
        <f>ROUND((C13/$C$28)*100,1)</f>
        <v>0.6</v>
      </c>
    </row>
    <row r="14" spans="1:4" x14ac:dyDescent="0.2">
      <c r="D14" s="182"/>
    </row>
    <row r="15" spans="1:4" x14ac:dyDescent="0.2">
      <c r="A15">
        <v>2100</v>
      </c>
      <c r="B15" t="s">
        <v>706</v>
      </c>
      <c r="C15" s="179">
        <f>ROUND('DOE25'!L202+'DOE25'!L220+'DOE25'!L238+'DOE25'!L281+'DOE25'!L300+'DOE25'!L319,0)</f>
        <v>435175</v>
      </c>
      <c r="D15" s="182">
        <f t="shared" ref="D15:D27" si="0">ROUND((C15/$C$28)*100,1)</f>
        <v>9.6</v>
      </c>
    </row>
    <row r="16" spans="1:4" x14ac:dyDescent="0.2">
      <c r="A16">
        <v>2200</v>
      </c>
      <c r="B16" t="s">
        <v>707</v>
      </c>
      <c r="C16" s="179">
        <f>ROUND('DOE25'!L203+'DOE25'!L221+'DOE25'!L239+'DOE25'!L282+'DOE25'!L301+'DOE25'!L320,0)</f>
        <v>146274</v>
      </c>
      <c r="D16" s="182">
        <f t="shared" si="0"/>
        <v>3.2</v>
      </c>
    </row>
    <row r="17" spans="1:4" x14ac:dyDescent="0.2">
      <c r="A17" s="183" t="s">
        <v>723</v>
      </c>
      <c r="B17" t="s">
        <v>738</v>
      </c>
      <c r="C17" s="179">
        <f>ROUND('DOE25'!L204+'DOE25'!L209+'DOE25'!L222+'DOE25'!L227+'DOE25'!L240+'DOE25'!L245+'DOE25'!L283+'DOE25'!L288+'DOE25'!L302+'DOE25'!L307+'DOE25'!L321+'DOE25'!L326,0)</f>
        <v>251240</v>
      </c>
      <c r="D17" s="182">
        <f t="shared" si="0"/>
        <v>5.5</v>
      </c>
    </row>
    <row r="18" spans="1:4" x14ac:dyDescent="0.2">
      <c r="A18">
        <v>2400</v>
      </c>
      <c r="B18" t="s">
        <v>711</v>
      </c>
      <c r="C18" s="179">
        <f>ROUND('DOE25'!L205+'DOE25'!L223+'DOE25'!L241+'DOE25'!L284+'DOE25'!L303+'DOE25'!L322,0)</f>
        <v>236333</v>
      </c>
      <c r="D18" s="182">
        <f t="shared" si="0"/>
        <v>5.2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299148</v>
      </c>
      <c r="D20" s="182">
        <f t="shared" si="0"/>
        <v>6.6</v>
      </c>
    </row>
    <row r="21" spans="1:4" x14ac:dyDescent="0.2">
      <c r="A21">
        <v>2700</v>
      </c>
      <c r="B21" t="s">
        <v>710</v>
      </c>
      <c r="C21" s="179">
        <f>ROUND('DOE25'!L208+'DOE25'!L226+'DOE25'!L244+'DOE25'!L287+'DOE25'!L306+'DOE25'!L325,0)</f>
        <v>218275</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23207.109999999993</v>
      </c>
      <c r="D27" s="182">
        <f t="shared" si="0"/>
        <v>0.5</v>
      </c>
    </row>
    <row r="28" spans="1:4" x14ac:dyDescent="0.2">
      <c r="B28" s="187" t="s">
        <v>719</v>
      </c>
      <c r="C28" s="180">
        <f>SUM(C10:C27)</f>
        <v>4545714.1100000003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4545714.1100000003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3684620</v>
      </c>
      <c r="D35" s="182">
        <f t="shared" ref="D35:D40" si="1">ROUND((C35/$C$41)*100,1)</f>
        <v>73.8</v>
      </c>
    </row>
    <row r="36" spans="1:4" x14ac:dyDescent="0.2">
      <c r="B36" s="185" t="s">
        <v>739</v>
      </c>
      <c r="C36" s="179">
        <f>SUM('DOE25'!F112:J112)-SUM('DOE25'!G97:G110)+('DOE25'!F174+'DOE25'!F175+'DOE25'!I174+'DOE25'!I175)-C35</f>
        <v>18104.909999999683</v>
      </c>
      <c r="D36" s="182">
        <f t="shared" si="1"/>
        <v>0.4</v>
      </c>
    </row>
    <row r="37" spans="1:4" x14ac:dyDescent="0.2">
      <c r="A37" s="183" t="s">
        <v>835</v>
      </c>
      <c r="B37" s="185" t="s">
        <v>728</v>
      </c>
      <c r="C37" s="179">
        <f>ROUND('DOE25'!F117+'DOE25'!F118,0)</f>
        <v>1101456</v>
      </c>
      <c r="D37" s="182">
        <f t="shared" si="1"/>
        <v>22</v>
      </c>
    </row>
    <row r="38" spans="1:4" x14ac:dyDescent="0.2">
      <c r="A38" s="183" t="s">
        <v>734</v>
      </c>
      <c r="B38" s="185" t="s">
        <v>729</v>
      </c>
      <c r="C38" s="179">
        <f>ROUND(SUM('DOE25'!F140:J140)-SUM('DOE25'!F117:F119),0)</f>
        <v>59488</v>
      </c>
      <c r="D38" s="182">
        <f t="shared" si="1"/>
        <v>1.2</v>
      </c>
    </row>
    <row r="39" spans="1:4" x14ac:dyDescent="0.2">
      <c r="A39">
        <v>4000</v>
      </c>
      <c r="B39" s="185" t="s">
        <v>730</v>
      </c>
      <c r="C39" s="179">
        <f>ROUND('DOE25'!F169+'DOE25'!G169+'DOE25'!H169+'DOE25'!I169,0)</f>
        <v>132141</v>
      </c>
      <c r="D39" s="182">
        <f t="shared" si="1"/>
        <v>2.6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4995809.91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Mont Vernon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2019-08-26T14:40:10Z</cp:lastPrinted>
  <dcterms:created xsi:type="dcterms:W3CDTF">1997-12-04T19:04:30Z</dcterms:created>
  <dcterms:modified xsi:type="dcterms:W3CDTF">2020-09-02T17:09:45Z</dcterms:modified>
</cp:coreProperties>
</file>