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C125" i="2" s="1"/>
  <c r="L245" i="1"/>
  <c r="G5" i="13"/>
  <c r="H5" i="13"/>
  <c r="L197" i="1"/>
  <c r="L198" i="1"/>
  <c r="L199" i="1"/>
  <c r="L200" i="1"/>
  <c r="L215" i="1"/>
  <c r="L216" i="1"/>
  <c r="L217" i="1"/>
  <c r="L218" i="1"/>
  <c r="L233" i="1"/>
  <c r="L234" i="1"/>
  <c r="L235" i="1"/>
  <c r="L236" i="1"/>
  <c r="G6" i="13"/>
  <c r="H6" i="13"/>
  <c r="L202" i="1"/>
  <c r="L220" i="1"/>
  <c r="L238" i="1"/>
  <c r="G7" i="13"/>
  <c r="H7" i="13"/>
  <c r="L203" i="1"/>
  <c r="L221" i="1"/>
  <c r="C119" i="2" s="1"/>
  <c r="L239" i="1"/>
  <c r="G12" i="13"/>
  <c r="H12" i="13"/>
  <c r="L205" i="1"/>
  <c r="L223" i="1"/>
  <c r="L241" i="1"/>
  <c r="G14" i="13"/>
  <c r="H14" i="13"/>
  <c r="L207" i="1"/>
  <c r="L225" i="1"/>
  <c r="C20" i="10" s="1"/>
  <c r="L243" i="1"/>
  <c r="G15" i="13"/>
  <c r="H15" i="13"/>
  <c r="L208" i="1"/>
  <c r="L226" i="1"/>
  <c r="L244" i="1"/>
  <c r="G17" i="13"/>
  <c r="H17" i="13"/>
  <c r="L251" i="1"/>
  <c r="G18" i="13"/>
  <c r="H18" i="13"/>
  <c r="L252" i="1"/>
  <c r="G19" i="13"/>
  <c r="H19" i="13"/>
  <c r="L253" i="1"/>
  <c r="G29" i="13"/>
  <c r="H29" i="13"/>
  <c r="L358" i="1"/>
  <c r="L359" i="1"/>
  <c r="L360" i="1"/>
  <c r="I367" i="1"/>
  <c r="J290" i="1"/>
  <c r="J309" i="1"/>
  <c r="J328" i="1"/>
  <c r="K290" i="1"/>
  <c r="K309" i="1"/>
  <c r="K328" i="1"/>
  <c r="L276" i="1"/>
  <c r="L277" i="1"/>
  <c r="C11" i="10" s="1"/>
  <c r="L278" i="1"/>
  <c r="E111" i="2" s="1"/>
  <c r="L279" i="1"/>
  <c r="L281" i="1"/>
  <c r="L282" i="1"/>
  <c r="L283" i="1"/>
  <c r="E120" i="2" s="1"/>
  <c r="L284" i="1"/>
  <c r="L285" i="1"/>
  <c r="L286" i="1"/>
  <c r="L287" i="1"/>
  <c r="L288" i="1"/>
  <c r="L295" i="1"/>
  <c r="L296" i="1"/>
  <c r="L297" i="1"/>
  <c r="L298" i="1"/>
  <c r="L300" i="1"/>
  <c r="L301" i="1"/>
  <c r="L302" i="1"/>
  <c r="L303" i="1"/>
  <c r="L304" i="1"/>
  <c r="L305" i="1"/>
  <c r="L306" i="1"/>
  <c r="G662" i="1" s="1"/>
  <c r="L307" i="1"/>
  <c r="L314" i="1"/>
  <c r="L315" i="1"/>
  <c r="L316" i="1"/>
  <c r="L317" i="1"/>
  <c r="L319" i="1"/>
  <c r="L320" i="1"/>
  <c r="L321" i="1"/>
  <c r="L322" i="1"/>
  <c r="L323" i="1"/>
  <c r="L324" i="1"/>
  <c r="L325" i="1"/>
  <c r="L326" i="1"/>
  <c r="L333" i="1"/>
  <c r="L334" i="1"/>
  <c r="L335" i="1"/>
  <c r="L260" i="1"/>
  <c r="L261" i="1"/>
  <c r="C132" i="2" s="1"/>
  <c r="L341" i="1"/>
  <c r="E131" i="2" s="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401" i="1" s="1"/>
  <c r="C139" i="2" s="1"/>
  <c r="L397" i="1"/>
  <c r="L398" i="1"/>
  <c r="L399" i="1"/>
  <c r="L400" i="1"/>
  <c r="L403" i="1"/>
  <c r="L404" i="1"/>
  <c r="L405" i="1"/>
  <c r="L406" i="1"/>
  <c r="L266" i="1"/>
  <c r="J60" i="1"/>
  <c r="G56" i="2" s="1"/>
  <c r="G59" i="2"/>
  <c r="G61" i="2"/>
  <c r="F2" i="11"/>
  <c r="L613" i="1"/>
  <c r="H663" i="1" s="1"/>
  <c r="L612" i="1"/>
  <c r="G663" i="1" s="1"/>
  <c r="L611" i="1"/>
  <c r="F663" i="1" s="1"/>
  <c r="C40" i="10"/>
  <c r="F60" i="1"/>
  <c r="G60" i="1"/>
  <c r="D56" i="2" s="1"/>
  <c r="H60" i="1"/>
  <c r="H112" i="1" s="1"/>
  <c r="I60" i="1"/>
  <c r="F79" i="1"/>
  <c r="C57" i="2" s="1"/>
  <c r="F94" i="1"/>
  <c r="C58" i="2" s="1"/>
  <c r="F111" i="1"/>
  <c r="G111" i="1"/>
  <c r="H79" i="1"/>
  <c r="H94" i="1"/>
  <c r="H111" i="1"/>
  <c r="I111" i="1"/>
  <c r="I112" i="1" s="1"/>
  <c r="J111" i="1"/>
  <c r="J112" i="1" s="1"/>
  <c r="F121" i="1"/>
  <c r="F136" i="1"/>
  <c r="G121" i="1"/>
  <c r="G136" i="1"/>
  <c r="H121" i="1"/>
  <c r="H136" i="1"/>
  <c r="I121" i="1"/>
  <c r="I136" i="1"/>
  <c r="J121" i="1"/>
  <c r="J136" i="1"/>
  <c r="J140" i="1" s="1"/>
  <c r="F147" i="1"/>
  <c r="F162" i="1"/>
  <c r="F169" i="1" s="1"/>
  <c r="G147" i="1"/>
  <c r="G162" i="1"/>
  <c r="H147" i="1"/>
  <c r="H162" i="1"/>
  <c r="H169" i="1" s="1"/>
  <c r="I147" i="1"/>
  <c r="I162" i="1"/>
  <c r="I169" i="1" s="1"/>
  <c r="C12" i="10"/>
  <c r="C13" i="10"/>
  <c r="C18" i="10"/>
  <c r="L250" i="1"/>
  <c r="C113" i="2" s="1"/>
  <c r="L332" i="1"/>
  <c r="L254" i="1"/>
  <c r="L268" i="1"/>
  <c r="C26" i="10" s="1"/>
  <c r="L269" i="1"/>
  <c r="L349" i="1"/>
  <c r="E142" i="2" s="1"/>
  <c r="L350" i="1"/>
  <c r="I665" i="1"/>
  <c r="I670" i="1"/>
  <c r="F661"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L532" i="1"/>
  <c r="H550" i="1" s="1"/>
  <c r="H552" i="1" s="1"/>
  <c r="L533" i="1"/>
  <c r="H551" i="1" s="1"/>
  <c r="L536" i="1"/>
  <c r="I549" i="1" s="1"/>
  <c r="L537" i="1"/>
  <c r="I550" i="1" s="1"/>
  <c r="L538" i="1"/>
  <c r="I551" i="1" s="1"/>
  <c r="L541" i="1"/>
  <c r="J549" i="1" s="1"/>
  <c r="L542" i="1"/>
  <c r="J550" i="1" s="1"/>
  <c r="L543" i="1"/>
  <c r="J551" i="1" s="1"/>
  <c r="E132" i="2"/>
  <c r="K270" i="1"/>
  <c r="J270" i="1"/>
  <c r="I270" i="1"/>
  <c r="H270" i="1"/>
  <c r="G270" i="1"/>
  <c r="L270" i="1" s="1"/>
  <c r="F270" i="1"/>
  <c r="C131" i="2"/>
  <c r="A1" i="2"/>
  <c r="A2" i="2"/>
  <c r="C8" i="2"/>
  <c r="D8" i="2"/>
  <c r="D18" i="2" s="1"/>
  <c r="E8" i="2"/>
  <c r="F8" i="2"/>
  <c r="F18" i="2" s="1"/>
  <c r="I439" i="1"/>
  <c r="J9" i="1" s="1"/>
  <c r="G8" i="2" s="1"/>
  <c r="C9" i="2"/>
  <c r="C18" i="2" s="1"/>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E56" i="2"/>
  <c r="F56" i="2"/>
  <c r="E57" i="2"/>
  <c r="E62" i="2" s="1"/>
  <c r="E63" i="2" s="1"/>
  <c r="E58" i="2"/>
  <c r="C59" i="2"/>
  <c r="D59" i="2"/>
  <c r="D62" i="2" s="1"/>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E78" i="2" s="1"/>
  <c r="F76" i="2"/>
  <c r="C77" i="2"/>
  <c r="D77" i="2"/>
  <c r="D78" i="2" s="1"/>
  <c r="E77" i="2"/>
  <c r="F77" i="2"/>
  <c r="G77" i="2"/>
  <c r="G78" i="2" s="1"/>
  <c r="G81"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C112" i="2"/>
  <c r="E112" i="2"/>
  <c r="E113" i="2"/>
  <c r="D115" i="2"/>
  <c r="F115" i="2"/>
  <c r="G115" i="2"/>
  <c r="E119" i="2"/>
  <c r="E121" i="2"/>
  <c r="E123" i="2"/>
  <c r="E124" i="2"/>
  <c r="E125" i="2"/>
  <c r="F128" i="2"/>
  <c r="G128" i="2"/>
  <c r="C130" i="2"/>
  <c r="D134" i="2"/>
  <c r="D144" i="2" s="1"/>
  <c r="F134" i="2"/>
  <c r="K419" i="1"/>
  <c r="K427" i="1"/>
  <c r="K433" i="1"/>
  <c r="L263" i="1"/>
  <c r="C135" i="2" s="1"/>
  <c r="E135" i="2"/>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G619" i="1" s="1"/>
  <c r="I19" i="1"/>
  <c r="F32" i="1"/>
  <c r="F52" i="1" s="1"/>
  <c r="H617" i="1" s="1"/>
  <c r="G32" i="1"/>
  <c r="H32" i="1"/>
  <c r="I32" i="1"/>
  <c r="G52" i="1"/>
  <c r="H618" i="1" s="1"/>
  <c r="H51" i="1"/>
  <c r="I51" i="1"/>
  <c r="I52" i="1" s="1"/>
  <c r="H620" i="1" s="1"/>
  <c r="F177" i="1"/>
  <c r="I177" i="1"/>
  <c r="F183" i="1"/>
  <c r="G183" i="1"/>
  <c r="H183" i="1"/>
  <c r="I183" i="1"/>
  <c r="J183" i="1"/>
  <c r="J192" i="1" s="1"/>
  <c r="F188" i="1"/>
  <c r="G188" i="1"/>
  <c r="H188" i="1"/>
  <c r="H192" i="1" s="1"/>
  <c r="I188" i="1"/>
  <c r="F211" i="1"/>
  <c r="G211" i="1"/>
  <c r="H211" i="1"/>
  <c r="H257" i="1" s="1"/>
  <c r="H271" i="1" s="1"/>
  <c r="I211" i="1"/>
  <c r="J211" i="1"/>
  <c r="K211" i="1"/>
  <c r="F229" i="1"/>
  <c r="F257" i="1" s="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G408" i="1"/>
  <c r="H408" i="1"/>
  <c r="H644" i="1" s="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G452" i="1"/>
  <c r="G461" i="1" s="1"/>
  <c r="H640" i="1" s="1"/>
  <c r="H452" i="1"/>
  <c r="H461" i="1" s="1"/>
  <c r="H641" i="1" s="1"/>
  <c r="J641" i="1" s="1"/>
  <c r="F460" i="1"/>
  <c r="G460" i="1"/>
  <c r="H460" i="1"/>
  <c r="F461" i="1"/>
  <c r="H639" i="1" s="1"/>
  <c r="F470" i="1"/>
  <c r="G470" i="1"/>
  <c r="G476" i="1" s="1"/>
  <c r="H623" i="1" s="1"/>
  <c r="J623" i="1" s="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G545" i="1" s="1"/>
  <c r="H529" i="1"/>
  <c r="H545" i="1" s="1"/>
  <c r="I529" i="1"/>
  <c r="J529" i="1"/>
  <c r="K529" i="1"/>
  <c r="L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18" i="1"/>
  <c r="G620" i="1"/>
  <c r="G622" i="1"/>
  <c r="G623" i="1"/>
  <c r="G624" i="1"/>
  <c r="G625" i="1"/>
  <c r="H627" i="1"/>
  <c r="H628" i="1"/>
  <c r="H629" i="1"/>
  <c r="H630" i="1"/>
  <c r="H631" i="1"/>
  <c r="H632" i="1"/>
  <c r="H633" i="1"/>
  <c r="G634" i="1"/>
  <c r="H635" i="1"/>
  <c r="H636" i="1"/>
  <c r="H637" i="1"/>
  <c r="H638" i="1"/>
  <c r="G640" i="1"/>
  <c r="G641" i="1"/>
  <c r="G643" i="1"/>
  <c r="G644" i="1"/>
  <c r="G645" i="1"/>
  <c r="J645" i="1" s="1"/>
  <c r="H645" i="1"/>
  <c r="H647" i="1"/>
  <c r="G650" i="1"/>
  <c r="G651" i="1"/>
  <c r="G652" i="1"/>
  <c r="H652" i="1"/>
  <c r="G653" i="1"/>
  <c r="H653" i="1"/>
  <c r="G654" i="1"/>
  <c r="H654" i="1"/>
  <c r="H655" i="1"/>
  <c r="L256" i="1"/>
  <c r="A40" i="12"/>
  <c r="C91" i="2"/>
  <c r="D50" i="2"/>
  <c r="E103" i="2"/>
  <c r="G62" i="2"/>
  <c r="J257" i="1"/>
  <c r="J571" i="1"/>
  <c r="D81" i="2"/>
  <c r="G552" i="1"/>
  <c r="H476" i="1"/>
  <c r="H624" i="1" s="1"/>
  <c r="J624" i="1" s="1"/>
  <c r="G338" i="1"/>
  <c r="G352" i="1" s="1"/>
  <c r="F571" i="1"/>
  <c r="G22" i="2"/>
  <c r="H140" i="1"/>
  <c r="J651" i="1"/>
  <c r="F338" i="1"/>
  <c r="F352" i="1" s="1"/>
  <c r="J655" i="1"/>
  <c r="I545" i="1"/>
  <c r="J643" i="1" l="1"/>
  <c r="J640" i="1"/>
  <c r="E31" i="2"/>
  <c r="F112" i="1"/>
  <c r="L393" i="1"/>
  <c r="C138" i="2" s="1"/>
  <c r="A31" i="12"/>
  <c r="L362" i="1"/>
  <c r="E114" i="2"/>
  <c r="L328" i="1"/>
  <c r="L309" i="1"/>
  <c r="E122" i="2"/>
  <c r="E118" i="2"/>
  <c r="L290" i="1"/>
  <c r="G661" i="1"/>
  <c r="D18" i="13"/>
  <c r="C18" i="13" s="1"/>
  <c r="D15" i="13"/>
  <c r="C15" i="13" s="1"/>
  <c r="C121" i="2"/>
  <c r="D6" i="13"/>
  <c r="C6" i="13" s="1"/>
  <c r="L247" i="1"/>
  <c r="L211" i="1"/>
  <c r="F660" i="1" s="1"/>
  <c r="F664" i="1" s="1"/>
  <c r="E13" i="13"/>
  <c r="C13" i="13" s="1"/>
  <c r="C120" i="2"/>
  <c r="L614" i="1"/>
  <c r="K598" i="1"/>
  <c r="G647" i="1" s="1"/>
  <c r="J647" i="1" s="1"/>
  <c r="K571" i="1"/>
  <c r="L570" i="1"/>
  <c r="H571" i="1"/>
  <c r="L565" i="1"/>
  <c r="I571" i="1"/>
  <c r="K545" i="1"/>
  <c r="K338" i="1"/>
  <c r="K352" i="1" s="1"/>
  <c r="H52" i="1"/>
  <c r="H619" i="1" s="1"/>
  <c r="C114" i="2"/>
  <c r="G112" i="1"/>
  <c r="J644" i="1"/>
  <c r="J634" i="1"/>
  <c r="G161" i="2"/>
  <c r="G157" i="2"/>
  <c r="C78" i="2"/>
  <c r="C81" i="2" s="1"/>
  <c r="D63" i="2"/>
  <c r="J545" i="1"/>
  <c r="I476" i="1"/>
  <c r="H625" i="1" s="1"/>
  <c r="J625" i="1" s="1"/>
  <c r="J476" i="1"/>
  <c r="H626" i="1" s="1"/>
  <c r="F476" i="1"/>
  <c r="H622" i="1" s="1"/>
  <c r="J622" i="1" s="1"/>
  <c r="J639" i="1"/>
  <c r="L433" i="1"/>
  <c r="L434" i="1" s="1"/>
  <c r="G638" i="1" s="1"/>
  <c r="J638" i="1" s="1"/>
  <c r="L427" i="1"/>
  <c r="I257" i="1"/>
  <c r="I271" i="1" s="1"/>
  <c r="K257" i="1"/>
  <c r="K271" i="1" s="1"/>
  <c r="G192" i="1"/>
  <c r="F192" i="1"/>
  <c r="J552" i="1"/>
  <c r="I552" i="1"/>
  <c r="K549" i="1"/>
  <c r="F552" i="1"/>
  <c r="L351" i="1"/>
  <c r="F130" i="2"/>
  <c r="F144" i="2" s="1"/>
  <c r="F145" i="2" s="1"/>
  <c r="J617" i="1"/>
  <c r="C62" i="2"/>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E128"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36" i="10" s="1"/>
  <c r="C29" i="10"/>
  <c r="E81" i="2"/>
  <c r="E104" i="2" s="1"/>
  <c r="G649" i="1"/>
  <c r="J649" i="1" s="1"/>
  <c r="L544" i="1"/>
  <c r="L524" i="1"/>
  <c r="J338" i="1"/>
  <c r="J352" i="1" s="1"/>
  <c r="D127" i="2"/>
  <c r="D128" i="2" s="1"/>
  <c r="D145" i="2" s="1"/>
  <c r="C124" i="2"/>
  <c r="C122" i="2"/>
  <c r="C118" i="2"/>
  <c r="C19" i="10"/>
  <c r="C16" i="10"/>
  <c r="D17" i="13"/>
  <c r="C17" i="13" s="1"/>
  <c r="D7" i="13"/>
  <c r="E16" i="13"/>
  <c r="E33" i="13" s="1"/>
  <c r="D35" i="13" s="1"/>
  <c r="H660" i="1"/>
  <c r="G36" i="14"/>
  <c r="H36" i="14" s="1"/>
  <c r="I36" i="14" s="1"/>
  <c r="C10" i="10"/>
  <c r="C109" i="2"/>
  <c r="L229" i="1"/>
  <c r="G24" i="14" s="1"/>
  <c r="G4" i="14"/>
  <c r="H4" i="14" s="1"/>
  <c r="I4" i="14" s="1"/>
  <c r="C7" i="13"/>
  <c r="L257" i="1"/>
  <c r="L271" i="1" s="1"/>
  <c r="G632" i="1" s="1"/>
  <c r="J632" i="1" s="1"/>
  <c r="C16" i="13"/>
  <c r="L337" i="1"/>
  <c r="F62" i="2"/>
  <c r="F63" i="2" s="1"/>
  <c r="C23" i="10"/>
  <c r="G163" i="2"/>
  <c r="G162" i="2"/>
  <c r="G160" i="2"/>
  <c r="G159" i="2"/>
  <c r="G158" i="2"/>
  <c r="G103" i="2"/>
  <c r="F103" i="2"/>
  <c r="C103" i="2"/>
  <c r="F91" i="2"/>
  <c r="E50" i="2"/>
  <c r="E51" i="2" s="1"/>
  <c r="C50" i="2"/>
  <c r="F31" i="2"/>
  <c r="C31" i="2"/>
  <c r="E18" i="2"/>
  <c r="E144" i="2"/>
  <c r="F50" i="2"/>
  <c r="F51" i="2" s="1"/>
  <c r="L338" i="1"/>
  <c r="L352" i="1" s="1"/>
  <c r="G633" i="1" s="1"/>
  <c r="J633" i="1" s="1"/>
  <c r="C24" i="10"/>
  <c r="G660" i="1"/>
  <c r="G664" i="1" s="1"/>
  <c r="H31" i="13"/>
  <c r="H33" i="13" s="1"/>
  <c r="I338" i="1"/>
  <c r="I352" i="1" s="1"/>
  <c r="J650" i="1"/>
  <c r="L407" i="1"/>
  <c r="C140" i="2" s="1"/>
  <c r="C141" i="2" s="1"/>
  <c r="C144" i="2" s="1"/>
  <c r="L571" i="1"/>
  <c r="I192" i="1"/>
  <c r="E91" i="2"/>
  <c r="L408" i="1"/>
  <c r="G637" i="1" s="1"/>
  <c r="J637" i="1" s="1"/>
  <c r="D51" i="2"/>
  <c r="J654" i="1"/>
  <c r="J653" i="1"/>
  <c r="G21" i="2"/>
  <c r="G31" i="2" s="1"/>
  <c r="J32" i="1"/>
  <c r="J434" i="1"/>
  <c r="F434" i="1"/>
  <c r="K434" i="1"/>
  <c r="G134" i="2" s="1"/>
  <c r="G144" i="2" s="1"/>
  <c r="G145" i="2" s="1"/>
  <c r="G31" i="13"/>
  <c r="J193" i="1"/>
  <c r="G646" i="1" s="1"/>
  <c r="F104" i="2"/>
  <c r="H193" i="1"/>
  <c r="G629" i="1" s="1"/>
  <c r="J629" i="1" s="1"/>
  <c r="G169" i="1"/>
  <c r="C39" i="10" s="1"/>
  <c r="G140" i="1"/>
  <c r="F140" i="1"/>
  <c r="F193" i="1" s="1"/>
  <c r="G627" i="1" s="1"/>
  <c r="J627" i="1" s="1"/>
  <c r="G63" i="2"/>
  <c r="J618" i="1"/>
  <c r="G42" i="2"/>
  <c r="G50" i="2" s="1"/>
  <c r="J51" i="1"/>
  <c r="G16" i="2"/>
  <c r="G18" i="2" s="1"/>
  <c r="J19" i="1"/>
  <c r="G621" i="1" s="1"/>
  <c r="F545" i="1"/>
  <c r="H434" i="1"/>
  <c r="J620" i="1"/>
  <c r="J619" i="1"/>
  <c r="D103" i="2"/>
  <c r="D104" i="2" s="1"/>
  <c r="I140" i="1"/>
  <c r="A22" i="12"/>
  <c r="H646" i="1"/>
  <c r="H648" i="1"/>
  <c r="J648" i="1" s="1"/>
  <c r="J652" i="1"/>
  <c r="G571" i="1"/>
  <c r="I434" i="1"/>
  <c r="G434" i="1"/>
  <c r="I663" i="1"/>
  <c r="C27" i="10"/>
  <c r="G635" i="1"/>
  <c r="J635" i="1" s="1"/>
  <c r="G51" i="2" l="1"/>
  <c r="H664" i="1"/>
  <c r="H667" i="1" s="1"/>
  <c r="G33" i="13"/>
  <c r="C115" i="2"/>
  <c r="C63" i="2"/>
  <c r="C104" i="2" s="1"/>
  <c r="C128" i="2"/>
  <c r="C145" i="2" s="1"/>
  <c r="E145" i="2"/>
  <c r="D31" i="13"/>
  <c r="C31" i="13" s="1"/>
  <c r="C25" i="13"/>
  <c r="I33" i="13"/>
  <c r="I193" i="1"/>
  <c r="G630" i="1" s="1"/>
  <c r="J630" i="1" s="1"/>
  <c r="K552" i="1"/>
  <c r="G104" i="2"/>
  <c r="L545" i="1"/>
  <c r="I461" i="1"/>
  <c r="H642" i="1" s="1"/>
  <c r="J642" i="1" s="1"/>
  <c r="C28" i="10"/>
  <c r="D23" i="10" s="1"/>
  <c r="H24" i="14"/>
  <c r="I24" i="14" s="1"/>
  <c r="G667" i="1"/>
  <c r="G672" i="1"/>
  <c r="C5" i="10" s="1"/>
  <c r="I660" i="1"/>
  <c r="I664" i="1" s="1"/>
  <c r="I672" i="1" s="1"/>
  <c r="C7" i="10" s="1"/>
  <c r="F672" i="1"/>
  <c r="C4" i="10" s="1"/>
  <c r="F667" i="1"/>
  <c r="C51" i="2"/>
  <c r="G631" i="1"/>
  <c r="J631" i="1" s="1"/>
  <c r="J646" i="1"/>
  <c r="G193" i="1"/>
  <c r="G628" i="1" s="1"/>
  <c r="J628" i="1" s="1"/>
  <c r="G626" i="1"/>
  <c r="J626" i="1" s="1"/>
  <c r="J52" i="1"/>
  <c r="H621" i="1" s="1"/>
  <c r="J621" i="1" s="1"/>
  <c r="C38" i="10"/>
  <c r="D25" i="10" l="1"/>
  <c r="H672" i="1"/>
  <c r="C6" i="10" s="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<sst xmlns="http://schemas.openxmlformats.org/spreadsheetml/2006/main" count="5519" uniqueCount="1610">
  <si>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</si>
  <si>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</si>
  <si>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</si>
  <si>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</si>
  <si>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</si>
  <si>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</si>
  <si>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</si>
  <si>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</si>
  <si>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</si>
  <si>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</si>
  <si>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</si>
  <si>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</si>
  <si>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</si>
  <si>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</si>
  <si>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</si>
  <si>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</si>
  <si>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</si>
  <si>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</si>
  <si>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</si>
  <si>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</si>
  <si>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</si>
  <si>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</si>
  <si>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</si>
  <si>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</si>
  <si>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</si>
  <si>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</si>
  <si>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</si>
  <si>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</si>
  <si>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</si>
  <si>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</si>
  <si>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</si>
  <si>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</si>
  <si>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</si>
  <si>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</si>
  <si>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</si>
  <si>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</si>
  <si>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</si>
  <si>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</si>
  <si>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</si>
  <si>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</si>
  <si>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</si>
  <si>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</si>
  <si>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</si>
  <si>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</si>
  <si>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</si>
  <si>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</si>
  <si>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</si>
  <si>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</si>
  <si>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</si>
  <si>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</si>
  <si>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</si>
  <si>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</si>
  <si>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</si>
  <si>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</si>
  <si>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</si>
  <si>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</si>
  <si>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</si>
  <si>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</si>
  <si>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</si>
  <si>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</si>
  <si>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</si>
  <si>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</si>
  <si>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</si>
  <si>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</si>
  <si>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</si>
  <si>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</si>
  <si>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</si>
  <si>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</si>
  <si>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</si>
  <si>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</si>
  <si>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</si>
  <si>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</si>
  <si>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</si>
  <si>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</si>
  <si>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</si>
  <si>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</si>
  <si>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</si>
  <si>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</si>
  <si>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</si>
  <si>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</si>
  <si>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</si>
  <si>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</si>
  <si>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</si>
  <si>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</si>
  <si>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</si>
  <si>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</si>
  <si>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</si>
  <si>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</si>
  <si>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</si>
  <si>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</si>
  <si>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</si>
  <si>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</si>
  <si>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</si>
  <si>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</si>
  <si>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</si>
  <si>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</si>
  <si>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</si>
  <si>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</si>
  <si>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</si>
  <si>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</si>
  <si>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</si>
  <si>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</si>
  <si>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</si>
  <si>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</si>
  <si>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</si>
  <si>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</si>
  <si>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</si>
  <si>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</si>
  <si>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</si>
  <si>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</si>
  <si>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</si>
  <si>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</si>
  <si>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</si>
  <si>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</si>
  <si>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</si>
  <si>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</si>
  <si>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</si>
  <si>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</si>
  <si>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</si>
  <si>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</si>
  <si>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</si>
  <si>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</si>
  <si>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</si>
  <si>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</si>
  <si>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</si>
  <si>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</si>
  <si>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</si>
  <si>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</si>
  <si>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</si>
  <si>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</si>
  <si>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</si>
  <si>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</si>
  <si>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</si>
  <si>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</si>
  <si>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</si>
  <si>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</si>
  <si>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</si>
  <si>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</si>
  <si>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</si>
  <si>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</si>
  <si>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</si>
  <si>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</si>
  <si>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</si>
  <si>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</si>
  <si>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</si>
  <si>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</si>
  <si>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</si>
  <si>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</si>
  <si>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</si>
  <si>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</si>
  <si>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</si>
  <si>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</si>
  <si>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</si>
  <si>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</si>
  <si>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</si>
  <si>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</si>
  <si>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</si>
  <si>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</si>
  <si>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</si>
  <si>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</si>
  <si>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</si>
  <si>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</si>
  <si>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</si>
  <si>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</si>
  <si>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</si>
  <si>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</si>
  <si>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</si>
  <si>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</si>
  <si>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</si>
  <si>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</si>
  <si>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</si>
  <si>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</si>
  <si>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</si>
  <si>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</si>
  <si>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</si>
  <si>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</si>
  <si>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</si>
  <si>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</si>
  <si>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</si>
  <si>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</si>
  <si>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</si>
  <si>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</si>
  <si>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</si>
  <si>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</si>
  <si>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</si>
  <si>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</si>
  <si>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</si>
  <si>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</si>
  <si>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</si>
  <si>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</si>
  <si>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</si>
  <si>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</si>
  <si>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</si>
  <si>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</si>
  <si>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</si>
  <si>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</si>
  <si>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</si>
  <si>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</si>
  <si>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</si>
  <si>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</si>
  <si>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</si>
  <si>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</si>
  <si>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</si>
  <si>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</si>
  <si>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</si>
  <si>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</si>
  <si>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</si>
  <si>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</si>
  <si>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</si>
  <si>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</si>
  <si>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</si>
  <si>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</si>
  <si>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</si>
  <si>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</si>
  <si>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</si>
  <si>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</si>
  <si>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</si>
  <si>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</si>
  <si>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</si>
  <si>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</si>
  <si>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</si>
  <si>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</si>
  <si>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</si>
  <si>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</si>
  <si>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</si>
  <si>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</si>
  <si>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</si>
  <si>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</si>
  <si>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</si>
  <si>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</si>
  <si>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</si>
  <si>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</si>
  <si>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</si>
  <si>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</si>
  <si>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</si>
  <si>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</si>
  <si>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</si>
  <si>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</si>
  <si>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</si>
  <si>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</si>
  <si>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</si>
  <si>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</si>
  <si>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</si>
  <si>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</si>
  <si>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</si>
  <si>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</si>
  <si>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</si>
  <si>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</si>
  <si>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</si>
  <si>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</si>
  <si>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</si>
  <si>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</si>
  <si>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</si>
  <si>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</si>
  <si>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</si>
  <si>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</si>
  <si>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</si>
  <si>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</si>
  <si>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</si>
  <si>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</si>
  <si>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</si>
  <si>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</si>
  <si>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</si>
  <si>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</si>
  <si>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</si>
  <si>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</si>
  <si>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</si>
  <si>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</si>
  <si>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</si>
  <si>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</si>
  <si>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</si>
  <si>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</si>
  <si>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</si>
  <si>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</si>
  <si>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</si>
  <si>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</si>
  <si>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</si>
  <si>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</si>
  <si>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</si>
  <si>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</si>
  <si>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</si>
  <si>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</si>
  <si>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</si>
  <si>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</si>
  <si>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</si>
  <si>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</si>
  <si>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</si>
  <si>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</si>
  <si>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</si>
  <si>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</si>
  <si>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</si>
  <si>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</si>
  <si>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</si>
  <si>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</si>
  <si>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</si>
  <si>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</si>
  <si>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</si>
  <si>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</si>
  <si>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</si>
  <si>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</si>
  <si>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</si>
  <si>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</si>
  <si>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</si>
  <si>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</si>
  <si>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</si>
  <si>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</si>
  <si>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</si>
  <si>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</si>
  <si>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</si>
  <si>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</si>
  <si>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</si>
  <si>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</si>
  <si>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</si>
  <si>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</si>
  <si>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</si>
  <si>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</si>
  <si>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</si>
  <si>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</si>
  <si>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</si>
  <si>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</si>
  <si>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</si>
  <si>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</si>
  <si>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</si>
  <si>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</si>
  <si>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</si>
  <si>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</si>
  <si>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</si>
  <si>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</si>
  <si>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</si>
  <si>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</si>
  <si>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</si>
  <si>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</si>
  <si>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</si>
  <si>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</si>
  <si>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</si>
  <si>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</si>
  <si>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</si>
  <si>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</si>
  <si>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</si>
  <si>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</si>
  <si>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</si>
  <si>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</si>
  <si>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</si>
  <si>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</si>
  <si>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</si>
  <si>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</si>
  <si>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</si>
  <si>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</si>
  <si>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</si>
  <si>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</si>
  <si>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</si>
  <si>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</si>
  <si>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</si>
  <si>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</si>
  <si>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</si>
  <si>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</si>
  <si>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</si>
  <si>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</si>
  <si>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</si>
  <si>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</si>
  <si>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</si>
  <si>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</si>
  <si>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</si>
  <si>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</si>
  <si>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</si>
  <si>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</si>
  <si>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</si>
  <si>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</si>
  <si>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</si>
  <si>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</si>
  <si>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</si>
  <si>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</si>
  <si>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</si>
  <si>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</si>
  <si>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</si>
  <si>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</si>
  <si>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</si>
  <si>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</si>
  <si>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</si>
  <si>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</si>
  <si>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</si>
  <si>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</si>
  <si>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</si>
  <si>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</si>
  <si>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</si>
  <si>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</si>
  <si>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</si>
  <si>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</si>
  <si>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</si>
  <si>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</si>
  <si>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</si>
  <si>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</si>
  <si>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</si>
  <si>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</si>
  <si>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</si>
  <si>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</si>
  <si>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</si>
  <si>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</si>
  <si>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</si>
  <si>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</si>
  <si>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</si>
  <si>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</si>
  <si>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</si>
  <si>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</si>
  <si>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</si>
  <si>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</si>
  <si>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</si>
  <si>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</si>
  <si>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</si>
  <si>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</si>
  <si>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</si>
  <si>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</si>
  <si>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</si>
  <si>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</si>
  <si>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</si>
  <si>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</si>
  <si>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</si>
  <si>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</si>
  <si>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</si>
  <si>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</si>
  <si>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</si>
  <si>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</si>
  <si>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</si>
  <si>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</si>
  <si>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</si>
  <si>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</si>
  <si>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</si>
  <si>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</si>
  <si>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</si>
  <si>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</si>
  <si>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</si>
  <si>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</si>
  <si>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</si>
  <si>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</si>
  <si>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</si>
  <si>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</si>
  <si>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</si>
  <si>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</si>
  <si>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</si>
  <si>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</si>
  <si>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</si>
  <si>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</si>
  <si>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</si>
  <si>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</si>
  <si>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</si>
  <si>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</si>
  <si>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</si>
  <si>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</si>
  <si>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</si>
  <si>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</si>
  <si>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</si>
  <si>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</si>
  <si>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</si>
  <si>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</si>
  <si>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</si>
  <si>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</si>
  <si>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</si>
  <si>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</si>
  <si>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</si>
  <si>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</si>
  <si>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</si>
  <si>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</si>
  <si>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</si>
  <si>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</si>
  <si>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</si>
  <si>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</si>
  <si>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</si>
  <si>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</si>
  <si>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</si>
  <si>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</si>
  <si>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</si>
  <si>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</si>
  <si>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</si>
  <si>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</si>
  <si>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</si>
  <si>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</si>
  <si>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</si>
  <si>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</si>
  <si>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</si>
  <si>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</si>
  <si>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</si>
  <si>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</si>
  <si>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</si>
  <si>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</si>
  <si>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</si>
  <si>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</si>
  <si>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</si>
  <si>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</si>
  <si>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</si>
  <si>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</si>
  <si>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</si>
  <si>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</si>
  <si>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</si>
  <si>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</si>
  <si>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</si>
  <si>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</si>
  <si>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</si>
  <si>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</si>
  <si>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</si>
  <si>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</si>
  <si>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</si>
  <si>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</si>
  <si>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</si>
  <si>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</si>
  <si>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</si>
  <si>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</si>
  <si>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</si>
  <si>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</si>
  <si>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</si>
  <si>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</si>
  <si>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</si>
  <si>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</si>
  <si>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</si>
  <si>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</si>
  <si>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</si>
  <si>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</si>
  <si>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</si>
  <si>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</si>
  <si>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</si>
  <si>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</si>
  <si>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</si>
  <si>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</si>
  <si>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</si>
  <si>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</si>
  <si>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</si>
  <si>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</si>
  <si>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</si>
  <si>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</si>
  <si>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</si>
  <si>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</si>
  <si>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</si>
  <si>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</si>
  <si>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</si>
  <si>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</si>
  <si>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</si>
  <si>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</si>
  <si>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</si>
  <si>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</si>
  <si>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</si>
  <si>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</si>
  <si>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</si>
  <si>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</si>
  <si>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</si>
  <si>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</si>
  <si>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</si>
  <si>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</si>
  <si>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</si>
  <si>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</si>
  <si>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</si>
  <si>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</si>
  <si>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</si>
  <si>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</si>
  <si>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</si>
  <si>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</si>
  <si>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</si>
  <si>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</si>
  <si>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</si>
  <si>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</si>
  <si>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</si>
  <si>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</si>
  <si>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</si>
  <si>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</si>
  <si>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</si>
  <si>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</si>
  <si>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</si>
  <si>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</si>
  <si>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</si>
  <si>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</si>
  <si>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</si>
  <si>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</si>
  <si>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</si>
  <si>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</si>
  <si>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</si>
  <si>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</si>
  <si>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</si>
  <si>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</si>
  <si>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</si>
  <si>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</si>
  <si>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</si>
  <si>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</si>
  <si>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</si>
  <si>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</si>
  <si>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</si>
  <si>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</si>
  <si>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</si>
  <si>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</si>
  <si>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</si>
  <si>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</si>
  <si>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</si>
  <si>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</si>
  <si>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</si>
  <si>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</si>
  <si>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</si>
  <si>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</si>
  <si>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</si>
  <si>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</si>
  <si>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</si>
  <si>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</si>
  <si>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</si>
  <si>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</si>
  <si>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</si>
  <si>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</si>
  <si>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</si>
  <si>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</si>
  <si>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</si>
  <si>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</si>
  <si>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</si>
  <si>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</si>
  <si>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</si>
  <si>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</si>
  <si>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</si>
  <si>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</si>
  <si>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</si>
  <si>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</si>
  <si>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</si>
  <si>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</si>
  <si>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</si>
  <si>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</si>
  <si>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</si>
  <si>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</si>
  <si>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</si>
  <si>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</si>
  <si>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</si>
  <si>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</si>
  <si>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</si>
  <si>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</si>
  <si>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</si>
  <si>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</si>
  <si>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</si>
  <si>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</si>
  <si>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</si>
  <si>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</si>
  <si>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</si>
  <si>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</si>
  <si>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</si>
  <si>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</si>
  <si>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</si>
  <si>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</si>
  <si>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</si>
  <si>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</si>
  <si>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</si>
  <si>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</si>
  <si>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</si>
  <si>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</si>
  <si>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</si>
  <si>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</si>
  <si>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</si>
  <si>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</si>
  <si>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</si>
  <si>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</si>
  <si>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</si>
  <si>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</si>
  <si>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</si>
  <si>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</si>
  <si>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</si>
  <si>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</si>
  <si>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</si>
  <si>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</si>
  <si>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</si>
  <si>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</si>
  <si>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</si>
  <si>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</si>
  <si>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</si>
  <si>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</si>
  <si>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</si>
  <si>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</si>
  <si>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</si>
  <si>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</si>
  <si>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</si>
  <si>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</si>
  <si>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</si>
  <si>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</si>
  <si>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</si>
  <si>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</si>
  <si>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</si>
  <si>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</si>
  <si>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</si>
  <si>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</si>
  <si>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</si>
  <si>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</si>
  <si>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</si>
  <si>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</si>
  <si>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</si>
  <si>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</si>
  <si>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</si>
  <si>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</si>
  <si>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</si>
  <si>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</si>
  <si>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</si>
  <si>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</si>
  <si>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</si>
  <si>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</si>
  <si>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</si>
  <si>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</si>
  <si>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</si>
  <si>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</si>
  <si>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</si>
  <si>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</si>
  <si>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</si>
  <si>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</si>
  <si>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</si>
  <si>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</si>
  <si>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</si>
  <si>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</si>
  <si>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</si>
  <si>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</si>
  <si>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</si>
  <si>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</si>
  <si>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</si>
  <si>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</si>
  <si>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</si>
  <si>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</si>
  <si>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</si>
  <si>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</si>
  <si>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</si>
  <si>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</si>
  <si>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</si>
  <si>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</si>
  <si>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</si>
  <si>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</si>
  <si>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</si>
  <si>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</si>
  <si>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</si>
  <si>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</si>
  <si>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</si>
  <si>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</si>
  <si>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</si>
  <si>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</si>
  <si>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</si>
  <si>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</si>
  <si>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</si>
  <si>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</si>
  <si>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</si>
  <si>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</si>
  <si>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</si>
  <si>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</si>
  <si>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</si>
  <si>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</si>
  <si>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</si>
  <si>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</si>
  <si>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</si>
  <si>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</si>
  <si>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</si>
  <si>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</si>
  <si>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</si>
  <si>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</si>
  <si>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</si>
  <si>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</si>
  <si>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</si>
  <si>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</si>
  <si>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</si>
  <si>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</si>
  <si>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</si>
  <si>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</si>
  <si>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</si>
  <si>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</si>
  <si>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</si>
  <si>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</si>
  <si>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</si>
  <si>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</si>
  <si>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</si>
  <si>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</si>
  <si>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</si>
  <si>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</si>
  <si>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</si>
  <si>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</si>
  <si>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</si>
  <si>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</si>
  <si>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</si>
  <si>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</si>
  <si>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</si>
  <si>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</si>
  <si>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</si>
  <si>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</si>
  <si>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</si>
  <si>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</si>
  <si>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</si>
  <si>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</si>
  <si>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</si>
  <si>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</si>
  <si>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</si>
  <si>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</si>
  <si>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</si>
  <si>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</si>
  <si>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</si>
  <si>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</si>
  <si>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</si>
  <si>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</si>
  <si>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</si>
  <si>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</si>
  <si>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</si>
  <si>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</si>
  <si>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</si>
  <si>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</si>
  <si>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</si>
  <si>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</si>
  <si>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</si>
  <si>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</si>
  <si>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</si>
  <si>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</si>
  <si>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</si>
  <si>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</si>
  <si>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</si>
  <si>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</si>
  <si>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</si>
  <si>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</si>
  <si>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</si>
  <si>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</si>
  <si>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</si>
  <si>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</si>
  <si>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</si>
  <si>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</si>
  <si>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</si>
  <si>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</si>
  <si>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</si>
  <si>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</si>
  <si>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</si>
  <si>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</si>
  <si>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</si>
  <si>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</si>
  <si>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</si>
  <si>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</si>
  <si>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</si>
  <si>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</si>
  <si>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</si>
  <si>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</si>
  <si>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</si>
  <si>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</si>
  <si>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</si>
  <si>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</si>
  <si>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</si>
  <si>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</si>
  <si>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</si>
  <si>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</si>
  <si>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</si>
  <si>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</si>
  <si>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</si>
  <si>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</si>
  <si>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</si>
  <si>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</si>
  <si>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</si>
  <si>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</si>
  <si>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</si>
  <si>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</si>
  <si>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</si>
  <si>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</si>
  <si>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</si>
  <si>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</si>
  <si>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</si>
  <si>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</si>
  <si>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</si>
  <si>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</si>
  <si>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</si>
  <si>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</si>
  <si>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</si>
  <si>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</si>
  <si>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</si>
  <si>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</si>
  <si>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</si>
  <si>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</si>
  <si>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</si>
  <si>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</si>
  <si>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</si>
  <si>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</si>
  <si>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</si>
  <si>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</si>
  <si>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</si>
  <si>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</si>
  <si>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</si>
  <si>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</si>
  <si>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</si>
  <si>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</si>
  <si>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</si>
  <si>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</si>
  <si>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</si>
  <si>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</si>
  <si>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</si>
  <si>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</si>
  <si>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</si>
  <si>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</si>
  <si>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</si>
  <si>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</si>
  <si>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</si>
  <si>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</si>
  <si>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</si>
  <si>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</si>
  <si>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</si>
  <si>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</si>
  <si>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</si>
  <si>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</si>
  <si>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</si>
  <si>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</si>
  <si>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</si>
  <si>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</si>
  <si>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</si>
  <si>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</si>
  <si>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</si>
  <si>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</si>
  <si>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</si>
  <si>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</si>
  <si>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</si>
  <si>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</si>
  <si>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</si>
  <si>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</si>
  <si>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</si>
  <si>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</si>
  <si>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</si>
  <si>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</si>
  <si>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</si>
  <si>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</si>
  <si>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</si>
  <si>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</si>
  <si>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</si>
  <si>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</si>
  <si>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</si>
  <si>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</si>
  <si>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</si>
  <si>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</si>
  <si>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</si>
  <si>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</si>
  <si>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</si>
  <si>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</si>
  <si>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</si>
  <si>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</si>
  <si>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</si>
  <si>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</si>
  <si>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</si>
  <si>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</si>
  <si>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</si>
  <si>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</si>
  <si>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</si>
  <si>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</si>
  <si>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</si>
  <si>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</si>
  <si>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</si>
  <si>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</si>
  <si>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</si>
  <si>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</si>
  <si>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</si>
  <si>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</si>
  <si>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</si>
  <si>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</si>
  <si>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</si>
  <si>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</si>
  <si>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</si>
  <si>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</si>
  <si>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</si>
  <si>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</si>
  <si>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</si>
  <si>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</si>
  <si>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</si>
  <si>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</si>
  <si>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</si>
  <si>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</si>
  <si>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</si>
  <si>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</si>
  <si>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</si>
  <si>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</si>
  <si>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</si>
  <si>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</si>
  <si>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</si>
  <si>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</si>
  <si>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</si>
  <si>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</si>
  <si>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</si>
  <si>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</si>
  <si>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</si>
  <si>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</si>
  <si>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</si>
  <si>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</si>
  <si>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</si>
  <si>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</si>
  <si>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</si>
  <si>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</si>
  <si>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</si>
  <si>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</si>
  <si>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</si>
  <si>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</si>
  <si>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</si>
  <si>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</si>
  <si>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</si>
  <si>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</si>
  <si>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</si>
  <si>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</si>
  <si>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</si>
  <si>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</si>
  <si>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</si>
  <si>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</si>
  <si>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</si>
  <si>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</si>
  <si>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</si>
  <si>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</si>
  <si>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</si>
  <si>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</si>
  <si>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</si>
  <si>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</si>
  <si>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</si>
  <si>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</si>
  <si>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</si>
  <si>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</si>
  <si>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</si>
  <si>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</si>
  <si>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</si>
  <si>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</si>
  <si>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</si>
  <si>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</si>
  <si>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</si>
  <si>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</si>
  <si>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</si>
  <si>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</si>
  <si>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</si>
  <si>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</si>
  <si>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</si>
  <si>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</si>
  <si>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</si>
  <si>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</si>
  <si>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</si>
  <si>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</si>
  <si>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</si>
  <si>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</si>
  <si>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</si>
  <si>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</si>
  <si>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</si>
  <si>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</si>
  <si>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</si>
  <si>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</si>
  <si>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</si>
  <si>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</si>
  <si>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</si>
  <si>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</si>
  <si>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</si>
  <si>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</si>
  <si>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</si>
  <si>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</si>
  <si>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</si>
  <si>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</si>
  <si>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</si>
  <si>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</si>
  <si>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</si>
  <si>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</si>
  <si>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</si>
  <si>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</si>
  <si>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</si>
  <si>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</si>
  <si>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</si>
  <si>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</si>
  <si>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</si>
  <si>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</si>
  <si>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</si>
  <si>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</si>
  <si>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</si>
  <si>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</si>
  <si>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</si>
  <si>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</si>
  <si>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</si>
  <si>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</si>
  <si>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</si>
  <si>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</si>
  <si>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</si>
  <si>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</si>
  <si>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</si>
  <si>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</si>
  <si>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</si>
  <si>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</si>
  <si>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</si>
  <si>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</si>
  <si>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</si>
  <si>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</si>
  <si>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</si>
  <si>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</si>
  <si>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</si>
  <si>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</si>
  <si>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</si>
  <si>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</si>
  <si>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</si>
  <si>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</si>
  <si>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</si>
  <si>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</si>
  <si>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</si>
  <si>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</si>
  <si>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</si>
  <si>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</si>
  <si>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</si>
  <si>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</si>
  <si>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</si>
  <si>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</si>
  <si>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</si>
  <si>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</si>
  <si>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</si>
  <si>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</si>
  <si>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</si>
  <si>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</si>
  <si>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</si>
  <si>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</si>
  <si>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</si>
  <si>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</si>
  <si>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</si>
  <si>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</si>
  <si>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</si>
  <si>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</si>
  <si>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</si>
  <si>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</si>
  <si>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</si>
  <si>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</si>
  <si>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</si>
  <si>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</si>
  <si>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</si>
  <si>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</si>
  <si>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</si>
  <si>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</si>
  <si>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</si>
  <si>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</si>
  <si>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</si>
  <si>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</si>
  <si>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</si>
  <si>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</si>
  <si>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</si>
  <si>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</si>
  <si>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</si>
  <si>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</si>
  <si>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</si>
  <si>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</si>
  <si>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</si>
  <si>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</si>
  <si>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</si>
  <si>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</si>
  <si>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</si>
  <si>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</si>
  <si>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</si>
  <si>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</si>
  <si>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</si>
  <si>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</si>
  <si>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</si>
  <si>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</si>
  <si>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</si>
  <si>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</si>
  <si>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</si>
  <si>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</si>
  <si>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</si>
  <si>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</si>
  <si>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</si>
  <si>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</si>
  <si>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</si>
  <si>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</si>
  <si>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</si>
  <si>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</si>
  <si>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</si>
  <si>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</si>
  <si>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</si>
  <si>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</si>
  <si>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</si>
  <si>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</si>
  <si>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</si>
  <si>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</si>
  <si>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</si>
  <si>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</si>
  <si>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</si>
  <si>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</si>
  <si>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</si>
  <si>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</si>
  <si>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</si>
  <si>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</si>
  <si>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</si>
  <si>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</si>
  <si>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</si>
  <si>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</si>
  <si>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</si>
  <si>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</si>
  <si>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</si>
  <si>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</si>
  <si>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</si>
  <si>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</si>
  <si>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</si>
  <si>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</si>
  <si>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</si>
  <si>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</si>
  <si>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</si>
  <si>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</si>
  <si>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</si>
  <si>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</si>
  <si>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</si>
  <si>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</si>
  <si>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</si>
  <si>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</si>
  <si>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</si>
  <si>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</si>
  <si>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</si>
  <si>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</si>
  <si>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</si>
  <si>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</si>
  <si>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</si>
  <si>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</si>
  <si>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</si>
  <si>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</si>
  <si>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</si>
  <si>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</si>
  <si>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</si>
  <si>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</si>
  <si>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</si>
  <si>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</si>
  <si>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</si>
  <si>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</si>
  <si>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</si>
  <si>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</si>
  <si>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</si>
  <si>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</si>
  <si>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</si>
  <si>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</si>
  <si>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</si>
  <si>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</si>
  <si>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</si>
  <si>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</si>
  <si>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</si>
  <si>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</si>
  <si>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</si>
  <si>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</si>
  <si>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</si>
  <si>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</si>
  <si>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</si>
  <si>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</si>
  <si>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</si>
  <si>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</si>
  <si>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</si>
  <si>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</si>
  <si>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</si>
  <si>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</si>
  <si>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</si>
  <si>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</si>
  <si>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</si>
  <si>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</si>
  <si>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</si>
  <si>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</si>
  <si>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</si>
  <si>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</si>
  <si>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</si>
  <si>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</si>
  <si>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</si>
  <si>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</si>
  <si>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</si>
  <si>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</si>
  <si>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</si>
  <si>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</si>
  <si>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</si>
  <si>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</si>
  <si>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</si>
  <si>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</si>
  <si>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</si>
  <si>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</si>
  <si>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</si>
  <si>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</si>
  <si>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</si>
  <si>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</si>
  <si>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</si>
  <si>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</si>
  <si>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</si>
  <si>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</si>
  <si>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</si>
  <si>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</si>
  <si>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</si>
  <si>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</si>
  <si>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</si>
  <si>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</si>
  <si>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</si>
  <si>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</si>
  <si>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</si>
  <si>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</si>
  <si>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</si>
  <si>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</si>
  <si>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</si>
  <si>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</si>
  <si>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</si>
  <si>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</si>
  <si>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</si>
  <si>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</si>
  <si>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</si>
  <si>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</si>
  <si>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</si>
  <si>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</si>
  <si>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</si>
  <si>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</si>
  <si>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</si>
  <si>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</si>
  <si>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</si>
  <si>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</si>
  <si>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</si>
  <si>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</si>
  <si>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</si>
  <si>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</si>
  <si>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</si>
  <si>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</si>
  <si>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</si>
  <si>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</si>
  <si>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</si>
  <si>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</si>
  <si>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</si>
  <si>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</si>
  <si>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</si>
  <si>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</si>
  <si>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</si>
  <si>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</si>
  <si>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</si>
  <si>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</si>
  <si>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</si>
  <si>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</si>
  <si>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</si>
  <si>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</si>
  <si>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</si>
  <si>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</si>
  <si>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</si>
  <si>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</si>
  <si>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</si>
  <si>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</si>
  <si>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</si>
  <si>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</si>
  <si>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</si>
  <si>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</si>
  <si>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</si>
  <si>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</si>
  <si>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</si>
  <si>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</si>
  <si>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</si>
  <si>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</si>
  <si>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</si>
  <si>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</si>
  <si>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</si>
  <si>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</si>
  <si>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</si>
  <si>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</si>
  <si>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</si>
  <si>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</si>
  <si>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</si>
  <si>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</si>
  <si>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</si>
  <si>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</si>
  <si>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</si>
  <si>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</si>
  <si>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</si>
  <si>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</si>
  <si>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</si>
  <si>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</si>
  <si>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</si>
  <si>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</si>
  <si>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</si>
  <si>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</si>
  <si>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</si>
  <si>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</si>
  <si>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</si>
  <si>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</si>
  <si>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</si>
  <si>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</si>
  <si>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</si>
  <si>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</si>
  <si>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</si>
  <si>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</si>
  <si>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</si>
  <si>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</si>
  <si>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</si>
  <si>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</si>
  <si>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</si>
  <si>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</si>
  <si>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</si>
  <si>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</si>
  <si>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</si>
  <si>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</si>
  <si>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</si>
  <si>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</si>
  <si>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</si>
  <si>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</si>
  <si>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</si>
  <si>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</si>
  <si>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</si>
  <si>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</si>
  <si>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</si>
  <si>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</si>
  <si>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</si>
  <si>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</si>
  <si>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</si>
  <si>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</si>
  <si>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</si>
  <si>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</si>
  <si>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</si>
  <si>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</si>
  <si>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</si>
  <si>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</si>
  <si>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</si>
  <si>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</si>
  <si>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</si>
  <si>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</si>
  <si>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</si>
  <si>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</si>
  <si>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</si>
  <si>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</si>
  <si>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</si>
  <si>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</si>
  <si>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</si>
  <si>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</si>
  <si>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</si>
  <si>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</si>
  <si>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</si>
  <si>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</si>
  <si>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</si>
  <si>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</si>
  <si>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</si>
  <si>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</si>
  <si>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</si>
  <si>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</si>
  <si>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</si>
  <si>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</si>
  <si>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</si>
  <si>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</si>
  <si>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</si>
  <si>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</si>
  <si>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</si>
  <si>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</si>
  <si>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</si>
  <si>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</si>
  <si>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</si>
  <si>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</si>
  <si>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</si>
  <si>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</si>
  <si>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</si>
  <si>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</si>
  <si>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</si>
  <si>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</si>
  <si>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</si>
  <si>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</si>
  <si>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</si>
  <si>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</si>
  <si>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</si>
  <si>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</si>
  <si>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</si>
  <si>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</si>
  <si>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</si>
  <si>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</si>
  <si>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</si>
  <si>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</si>
  <si>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</si>
  <si>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</si>
  <si>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</si>
  <si>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</si>
  <si>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</si>
  <si>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</si>
  <si>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</si>
  <si>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</si>
  <si>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</si>
  <si>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</si>
  <si>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</si>
  <si>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</si>
  <si>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</si>
  <si>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</si>
  <si>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</si>
  <si>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</si>
  <si>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</si>
  <si>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</si>
  <si>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</si>
  <si>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</si>
  <si>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</si>
  <si>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</si>
  <si>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</si>
  <si>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</si>
  <si>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</si>
  <si>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</si>
  <si>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</si>
  <si>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</si>
  <si>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</si>
  <si>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</si>
  <si>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</si>
  <si>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</si>
  <si>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</si>
  <si>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</si>
  <si>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</si>
  <si>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</si>
  <si>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</si>
  <si>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</si>
  <si>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</si>
  <si>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</si>
  <si>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</si>
  <si>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</si>
  <si>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</si>
  <si>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</si>
  <si>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</si>
  <si>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</si>
  <si>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</si>
  <si>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</si>
  <si>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</si>
  <si>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</si>
  <si>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</si>
  <si>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</si>
  <si>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</si>
  <si>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</si>
  <si>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</si>
  <si>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</si>
  <si>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</si>
  <si>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</si>
  <si>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</si>
  <si>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</si>
  <si>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</si>
  <si>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</si>
  <si>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</si>
  <si>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</si>
  <si>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</si>
  <si>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</si>
  <si>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</si>
  <si>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</si>
  <si>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</si>
  <si>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</si>
  <si>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</si>
  <si>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</si>
  <si>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</si>
  <si>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</si>
  <si>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</si>
  <si>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</si>
  <si>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</si>
  <si>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</si>
  <si>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</si>
  <si>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</si>
  <si>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</si>
  <si>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</si>
  <si>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</si>
  <si>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</si>
  <si>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</si>
  <si>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</si>
  <si>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</si>
  <si>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</si>
  <si>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</si>
  <si>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</si>
  <si>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</si>
  <si>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</si>
  <si>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</si>
  <si>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</si>
  <si>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</si>
  <si>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</si>
  <si>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</si>
  <si>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</si>
  <si>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</si>
  <si>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</si>
  <si>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</si>
  <si>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</si>
  <si>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</si>
  <si>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</si>
  <si>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</si>
  <si>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</si>
  <si>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</si>
  <si>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</si>
  <si>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</si>
  <si>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</si>
  <si>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</si>
  <si>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</si>
  <si>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</si>
  <si>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</si>
  <si>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</si>
  <si>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</si>
  <si>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</si>
  <si>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</si>
  <si>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</si>
  <si>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</si>
  <si>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</si>
  <si>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</si>
  <si>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</si>
  <si>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</si>
  <si>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</si>
  <si>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</si>
  <si>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</si>
  <si>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</si>
  <si>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</si>
  <si>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</si>
  <si>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</si>
  <si>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</si>
  <si>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</si>
  <si>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</si>
  <si>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</si>
  <si>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</si>
  <si>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</si>
  <si>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</si>
  <si>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</si>
  <si>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</si>
  <si>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</si>
  <si>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</si>
  <si>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</si>
  <si>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</si>
  <si>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</si>
  <si>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</si>
  <si>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</si>
  <si>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</si>
  <si>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</si>
  <si>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</si>
  <si>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</si>
  <si>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</si>
  <si>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</si>
  <si>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</si>
  <si>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</si>
  <si>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</si>
  <si>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</si>
  <si>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</si>
  <si>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</si>
  <si>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</si>
  <si>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</si>
  <si>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</si>
  <si>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</si>
  <si>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</si>
  <si>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</si>
  <si>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</si>
  <si>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</si>
  <si>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</si>
  <si>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</si>
  <si>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</si>
  <si>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</si>
  <si>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</si>
  <si>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</si>
  <si>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NASHUA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</si>
</sst>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4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371</v>
      </c>
      <c r="C2" s="21">
        <v>371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SUM(I439)</f>
        <v>2332997.46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6530384.5300000003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648209.82999999996</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168261.77</v>
      </c>
      <c r="H13" s="18">
        <v>3056286.43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v>5607.5</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816471.6</v>
      </c>
      <c r="H19" s="41">
        <f>SUM(H9:H18)</f>
        <v>3061893.93</v>
      </c>
      <c r="I19" s="41">
        <f>SUM(I9:I18)</f>
        <v>0</v>
      </c>
      <c r="J19" s="41">
        <f>SUM(J9:J18)</f>
        <v>8863381.9900000002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1338661.46</v>
      </c>
      <c r="I22" s="18">
        <v>2347.36</v>
      </c>
      <c r="J22" s="67">
        <f>SUM(I448)</f>
        <v>158295.57999999999</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v>563.30999999999995</v>
      </c>
      <c r="H24" s="18">
        <v>293982.90000000002</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14478.64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563.30999999999995</v>
      </c>
      <c r="H32" s="41">
        <f>SUM(H22:H31)</f>
        <v>1647122.9999999998</v>
      </c>
      <c r="I32" s="41">
        <f>SUM(I22:I31)</f>
        <v>2347.36</v>
      </c>
      <c r="J32" s="41">
        <f>SUM(J22:J31)</f>
        <v>158295.57999999999</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6089844.2300000004</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383848.43</v>
      </c>
      <c r="K39" s="24" t="s">
        <v>288</v>
      </c>
      <c r="L39" s="24" t="s">
        <v>288</v>
      </c>
      <c r="M39" s="8"/>
      <c r="N39" s="266"/>
    </row>
    <row r="40" spans="1:14" s="3" customFormat="1" ht="12.2" customHeight="1" x14ac:dyDescent="0.15">
      <c r="A40" s="1" t="s">
        <v>860</v>
      </c>
      <c r="B40" s="6">
        <v>1</v>
      </c>
      <c r="C40" s="6">
        <v>27</v>
      </c>
      <c r="D40" s="2"/>
      <c r="E40" s="6"/>
      <c r="F40" s="24" t="s">
        <v>288</v>
      </c>
      <c r="G40" s="18">
        <v>812129.86</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1305739.74</v>
      </c>
      <c r="I48" s="18">
        <v>-352192</v>
      </c>
      <c r="J48" s="13">
        <f>SUM(I459)</f>
        <v>2227561.75</v>
      </c>
      <c r="K48" s="24" t="s">
        <v>288</v>
      </c>
      <c r="L48" s="24" t="s">
        <v>288</v>
      </c>
      <c r="M48" s="8"/>
      <c r="N48" s="266"/>
    </row>
    <row r="49" spans="1:14" s="3" customFormat="1" ht="12.2" customHeight="1" x14ac:dyDescent="0.15">
      <c r="A49" s="1" t="s">
        <v>859</v>
      </c>
      <c r="B49" s="2" t="s">
        <v>289</v>
      </c>
      <c r="C49" s="6">
        <v>34</v>
      </c>
      <c r="D49" s="2"/>
      <c r="E49" s="6">
        <v>753</v>
      </c>
      <c r="F49" s="18"/>
      <c r="G49" s="18">
        <v>3778.43</v>
      </c>
      <c r="H49" s="18">
        <v>109031.19</v>
      </c>
      <c r="I49" s="18">
        <v>349844.64</v>
      </c>
      <c r="J49" s="13">
        <f>I454</f>
        <v>3832</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815908.29</v>
      </c>
      <c r="H51" s="41">
        <f>SUM(H35:H50)</f>
        <v>1414770.93</v>
      </c>
      <c r="I51" s="41">
        <f>SUM(I35:I50)</f>
        <v>-2347.359999999986</v>
      </c>
      <c r="J51" s="41">
        <f>SUM(J35:J50)</f>
        <v>8705086.4100000001</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816471.60000000009</v>
      </c>
      <c r="H52" s="41">
        <f>H51+H32</f>
        <v>3061893.9299999997</v>
      </c>
      <c r="I52" s="41">
        <f>I51+I32</f>
        <v>1.4097167877480388E-11</v>
      </c>
      <c r="J52" s="41">
        <f>J51+J32</f>
        <v>8863381.9900000002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97582967.590000004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97582967.590000004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4333.3100000000004</v>
      </c>
      <c r="G63" s="24" t="s">
        <v>288</v>
      </c>
      <c r="H63" s="18">
        <v>227012.2</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v>23383</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v>87910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58850.8</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v>304302.02</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v>77066</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4333.3100000000004</v>
      </c>
      <c r="G79" s="45" t="s">
        <v>288</v>
      </c>
      <c r="H79" s="41">
        <f>SUM(H63:H78)</f>
        <v>778524.02</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81540.5</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81540.5</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v>10801.1</v>
      </c>
      <c r="H96" s="18"/>
      <c r="I96" s="18"/>
      <c r="J96" s="18">
        <v>560842.80999999994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1920146.36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286315.49</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v>199113.57</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v>118740.96</v>
      </c>
      <c r="J102" s="18">
        <v>532209.18000000005</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51080.24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51080.24</v>
      </c>
      <c r="G111" s="41">
        <f>SUM(G96:G110)</f>
        <v>1930947.4600000002</v>
      </c>
      <c r="H111" s="41">
        <f>SUM(H96:H110)</f>
        <v>485429.06</v>
      </c>
      <c r="I111" s="41">
        <f>SUM(I96:I110)</f>
        <v>118740.96</v>
      </c>
      <c r="J111" s="41">
        <f>SUM(J96:J110)</f>
        <v>1093051.99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97719921.640000001</v>
      </c>
      <c r="G112" s="41">
        <f>G60+G111</f>
        <v>1930947.4600000002</v>
      </c>
      <c r="H112" s="41">
        <f>H60+H79+H94+H111</f>
        <v>1263953.08</v>
      </c>
      <c r="I112" s="41">
        <f>I60+I111</f>
        <v>118740.96</v>
      </c>
      <c r="J112" s="41">
        <f>J60+J111</f>
        <v>1093051.99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34790832.890000001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20371844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39456.68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55202133.57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2281549.02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830275.93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684567.48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195501.73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1477</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4230.8900000000003</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120522.26</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78121.37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482298.73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3993371.16</v>
      </c>
      <c r="G136" s="41">
        <f>SUM(G123:G135)</f>
        <v>78121.37</v>
      </c>
      <c r="H136" s="41">
        <f>SUM(H123:H135)</f>
        <v>607051.88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59195504.730000004</v>
      </c>
      <c r="G140" s="41">
        <f>G121+SUM(G136:G137)</f>
        <v>78121.37</v>
      </c>
      <c r="H140" s="41">
        <f>H121+SUM(H136:H139)</f>
        <v>607051.88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112.5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3767452.95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1294124.06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418545.47</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2952608.71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2929953.93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2447438.63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50250</v>
      </c>
      <c r="G161" s="18"/>
      <c r="H161" s="18">
        <v>45225.99</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2497688.63</v>
      </c>
      <c r="G162" s="41">
        <f>SUM(G150:G161)</f>
        <v>2952608.71</v>
      </c>
      <c r="H162" s="41">
        <f>SUM(H150:H161)</f>
        <v>8455414.9000000004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2497688.63</v>
      </c>
      <c r="G169" s="41">
        <f>G147+G162+SUM(G163:G168)</f>
        <v>2952608.71</v>
      </c>
      <c r="H169" s="41">
        <f>H147+H162+SUM(H163:H168)</f>
        <v>8455414.9000000004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1132000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v>68000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1200000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v>30921.65</v>
      </c>
      <c r="I179" s="18"/>
      <c r="J179" s="18">
        <v>250250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v>46975.57</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30921.65</v>
      </c>
      <c r="I183" s="41">
        <f>SUM(I179:I182)</f>
        <v>0</v>
      </c>
      <c r="J183" s="41">
        <f>SUM(J179:J182)</f>
        <v>297225.57</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100000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100000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100000</v>
      </c>
      <c r="G192" s="41">
        <f>G183+SUM(G188:G191)</f>
        <v>0</v>
      </c>
      <c r="H192" s="41">
        <f>+H183+SUM(H188:H191)</f>
        <v>30921.65</v>
      </c>
      <c r="I192" s="41">
        <f>I177+I183+SUM(I188:I191)</f>
        <v>1200000</v>
      </c>
      <c r="J192" s="41">
        <f>J183</f>
        <v>297225.57</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159513115</v>
      </c>
      <c r="G193" s="47">
        <f>G112+G140+G169+G192</f>
        <v>4961677.54</v>
      </c>
      <c r="H193" s="47">
        <f>H112+H140+H169+H192</f>
        <v>10357341.51</v>
      </c>
      <c r="I193" s="47">
        <f>I112+I140+I169+I192</f>
        <v>1318740.96</v>
      </c>
      <c r="J193" s="47">
        <f>J112+J140+J192</f>
        <v>1390277.56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19224766.140930004</v>
      </c>
      <c r="G197" s="18">
        <v>9303477.2299099993</v>
      </c>
      <c r="H197" s="18">
        <v>193318.22778000002</v>
      </c>
      <c r="I197" s="18">
        <v>252304.76</v>
      </c>
      <c r="J197" s="18">
        <v>74345.14</v>
      </c>
      <c r="K197" s="18">
        <v>0</v>
      </c>
      <c r="L197" s="19">
        <f>SUM(F197:K197)</f>
        <v>29048211.498620007</v>
      </c>
      <c r="M197" s="8"/>
      <c r="N197" s="266"/>
    </row>
    <row r="198" spans="1:14" s="3" customFormat="1" ht="12.2" customHeight="1" x14ac:dyDescent="0.15">
      <c r="A198" s="1" t="s">
        <v>439</v>
      </c>
      <c r="B198" s="2" t="s">
        <v>341</v>
      </c>
      <c r="C198" s="2" t="s">
        <v>291</v>
      </c>
      <c r="D198" s="2" t="s">
        <v>431</v>
      </c>
      <c r="E198" s="6">
        <v>1200</v>
      </c>
      <c r="F198" s="18">
        <v>9310211.0125155989</v>
      </c>
      <c r="G198" s="18">
        <v>3298466.5303990999</v>
      </c>
      <c r="H198" s="18">
        <v>598738.37453736202</v>
      </c>
      <c r="I198" s="18">
        <v>32115.887270200001</v>
      </c>
      <c r="J198" s="18">
        <v>0</v>
      </c>
      <c r="K198" s="18">
        <v>0</v>
      </c>
      <c r="L198" s="19">
        <f>SUM(F198:K198)</f>
        <v>13239531.804722261</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55564.169129999995</v>
      </c>
      <c r="G200" s="18">
        <v>4314.9609</v>
      </c>
      <c r="H200" s="18">
        <v>26197.284450000003</v>
      </c>
      <c r="I200" s="18">
        <v>6699.2983600000007</v>
      </c>
      <c r="J200" s="18">
        <v>0</v>
      </c>
      <c r="K200" s="18">
        <v>0</v>
      </c>
      <c r="L200" s="19">
        <f>SUM(F200:K200)</f>
        <v>92775.712839999993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3412053.7435499998</v>
      </c>
      <c r="G202" s="18">
        <v>1352285.8371900001</v>
      </c>
      <c r="H202" s="18">
        <v>568120.19691000006</v>
      </c>
      <c r="I202" s="18">
        <v>24708.159079999998</v>
      </c>
      <c r="J202" s="18">
        <v>0</v>
      </c>
      <c r="K202" s="18">
        <v>0</v>
      </c>
      <c r="L202" s="19">
        <f t="shared" ref="L202:L208" si="0">SUM(F202:K202)</f>
        <v>5357167.9367300002</v>
      </c>
      <c r="M202" s="8"/>
      <c r="N202" s="266"/>
    </row>
    <row r="203" spans="1:14" s="3" customFormat="1" ht="12.2" customHeight="1" x14ac:dyDescent="0.15">
      <c r="A203" s="1" t="s">
        <v>443</v>
      </c>
      <c r="B203" s="2" t="s">
        <v>341</v>
      </c>
      <c r="C203" s="2" t="s">
        <v>295</v>
      </c>
      <c r="D203" s="2" t="s">
        <v>431</v>
      </c>
      <c r="E203" s="6">
        <v>2200</v>
      </c>
      <c r="F203" s="18">
        <v>1425906.0688</v>
      </c>
      <c r="G203" s="18">
        <v>658739.90265999991</v>
      </c>
      <c r="H203" s="18">
        <v>136897.93182</v>
      </c>
      <c r="I203" s="18">
        <v>271613.45042000001</v>
      </c>
      <c r="J203" s="18">
        <v>376390.68755999999</v>
      </c>
      <c r="K203" s="18">
        <v>0</v>
      </c>
      <c r="L203" s="19">
        <f t="shared" si="0"/>
        <v>2869548.0412599999</v>
      </c>
      <c r="M203" s="8"/>
      <c r="N203" s="266"/>
    </row>
    <row r="204" spans="1:14" s="3" customFormat="1" ht="12.2" customHeight="1" x14ac:dyDescent="0.15">
      <c r="A204" s="1" t="s">
        <v>444</v>
      </c>
      <c r="B204" s="2" t="s">
        <v>341</v>
      </c>
      <c r="C204" s="2" t="s">
        <v>296</v>
      </c>
      <c r="D204" s="2" t="s">
        <v>431</v>
      </c>
      <c r="E204" s="6">
        <v>2300</v>
      </c>
      <c r="F204" s="18">
        <v>849632.11373999983</v>
      </c>
      <c r="G204" s="18">
        <v>299346.84846000007</v>
      </c>
      <c r="H204" s="18">
        <v>304669.52597999998</v>
      </c>
      <c r="I204" s="18">
        <v>9254.5816200000008</v>
      </c>
      <c r="J204" s="18">
        <v>1297.83141</v>
      </c>
      <c r="K204" s="18">
        <v>44042.721150000005</v>
      </c>
      <c r="L204" s="19">
        <f t="shared" si="0"/>
        <v>1508243.6223600002</v>
      </c>
      <c r="M204" s="8"/>
      <c r="N204" s="266"/>
    </row>
    <row r="205" spans="1:14" s="3" customFormat="1" ht="12.2" customHeight="1" x14ac:dyDescent="0.15">
      <c r="A205" s="1" t="s">
        <v>445</v>
      </c>
      <c r="B205" s="2" t="s">
        <v>341</v>
      </c>
      <c r="C205" s="2" t="s">
        <v>297</v>
      </c>
      <c r="D205" s="2" t="s">
        <v>431</v>
      </c>
      <c r="E205" s="6">
        <v>2400</v>
      </c>
      <c r="F205" s="18">
        <v>2803271.3167000008</v>
      </c>
      <c r="G205" s="18">
        <v>1405885.3491</v>
      </c>
      <c r="H205" s="18">
        <v>10148.890000000001</v>
      </c>
      <c r="I205" s="18">
        <v>12481.1</v>
      </c>
      <c r="J205" s="18">
        <v>1084.58</v>
      </c>
      <c r="K205" s="18">
        <v>0</v>
      </c>
      <c r="L205" s="19">
        <f t="shared" si="0"/>
        <v>4232871.2357999999</v>
      </c>
      <c r="M205" s="8"/>
      <c r="N205" s="266"/>
    </row>
    <row r="206" spans="1:14" s="3" customFormat="1" ht="12.2" customHeight="1" x14ac:dyDescent="0.15">
      <c r="A206" s="1" t="s">
        <v>446</v>
      </c>
      <c r="B206" s="2" t="s">
        <v>341</v>
      </c>
      <c r="C206" s="2" t="s">
        <v>298</v>
      </c>
      <c r="D206" s="2" t="s">
        <v>431</v>
      </c>
      <c r="E206" s="6">
        <v>2500</v>
      </c>
      <c r="F206" s="18">
        <v>391054.66901999997</v>
      </c>
      <c r="G206" s="18">
        <v>110030.982</v>
      </c>
      <c r="H206" s="18">
        <v>10418.094000000001</v>
      </c>
      <c r="I206" s="18">
        <v>0</v>
      </c>
      <c r="J206" s="18">
        <v>0</v>
      </c>
      <c r="K206" s="18">
        <v>0</v>
      </c>
      <c r="L206" s="19">
        <f t="shared" si="0"/>
        <v>511503.74501999997</v>
      </c>
      <c r="M206" s="8"/>
      <c r="N206" s="266"/>
    </row>
    <row r="207" spans="1:14" s="3" customFormat="1" ht="12.2" customHeight="1" x14ac:dyDescent="0.15">
      <c r="A207" s="1" t="s">
        <v>447</v>
      </c>
      <c r="B207" s="2" t="s">
        <v>341</v>
      </c>
      <c r="C207" s="2" t="s">
        <v>299</v>
      </c>
      <c r="D207" s="2" t="s">
        <v>431</v>
      </c>
      <c r="E207" s="6">
        <v>2600</v>
      </c>
      <c r="F207" s="18">
        <v>2275442.1207499998</v>
      </c>
      <c r="G207" s="18">
        <v>1102603.1676299998</v>
      </c>
      <c r="H207" s="18">
        <v>2501083.7359500001</v>
      </c>
      <c r="I207" s="18">
        <v>336275.66667000001</v>
      </c>
      <c r="J207" s="18">
        <v>33798.407010000003</v>
      </c>
      <c r="K207" s="18">
        <v>-90198.447210000013</v>
      </c>
      <c r="L207" s="19">
        <f t="shared" si="0"/>
        <v>6159004.6507999999</v>
      </c>
      <c r="M207" s="8"/>
      <c r="N207" s="266"/>
    </row>
    <row r="208" spans="1:14" s="3" customFormat="1" ht="12.2" customHeight="1" x14ac:dyDescent="0.15">
      <c r="A208" s="1" t="s">
        <v>448</v>
      </c>
      <c r="B208" s="2" t="s">
        <v>341</v>
      </c>
      <c r="C208" s="2" t="s">
        <v>300</v>
      </c>
      <c r="D208" s="2" t="s">
        <v>431</v>
      </c>
      <c r="E208" s="6">
        <v>2700</v>
      </c>
      <c r="F208" s="18">
        <v>39400.137060000001</v>
      </c>
      <c r="G208" s="18">
        <v>18415.32429</v>
      </c>
      <c r="H208" s="18">
        <v>3243890.0374799999</v>
      </c>
      <c r="I208" s="18">
        <v>0</v>
      </c>
      <c r="J208" s="18">
        <v>0</v>
      </c>
      <c r="K208" s="18">
        <v>0</v>
      </c>
      <c r="L208" s="19">
        <f t="shared" si="0"/>
        <v>3301705.4988299999</v>
      </c>
      <c r="M208" s="8"/>
      <c r="N208" s="266"/>
    </row>
    <row r="209" spans="1:14" s="3" customFormat="1" ht="12.2" customHeight="1" x14ac:dyDescent="0.15">
      <c r="A209" s="1" t="s">
        <v>449</v>
      </c>
      <c r="B209" s="2" t="s">
        <v>341</v>
      </c>
      <c r="C209" s="2" t="s">
        <v>343</v>
      </c>
      <c r="D209" s="2" t="s">
        <v>431</v>
      </c>
      <c r="E209" s="6">
        <v>2800</v>
      </c>
      <c r="F209" s="18">
        <v>120829.37402999998</v>
      </c>
      <c r="G209" s="18">
        <v>61351.457040000001</v>
      </c>
      <c r="H209" s="18">
        <v>97936.633979999999</v>
      </c>
      <c r="I209" s="18">
        <v>0</v>
      </c>
      <c r="J209" s="18">
        <v>0</v>
      </c>
      <c r="K209" s="18">
        <v>0</v>
      </c>
      <c r="L209" s="19">
        <f>SUM(F209:K209)</f>
        <v>280117.46505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39908130.866225608</v>
      </c>
      <c r="G211" s="41">
        <f t="shared" si="1"/>
        <v>17614917.589579098</v>
      </c>
      <c r="H211" s="41">
        <f t="shared" si="1"/>
        <v>7691418.9328873623</v>
      </c>
      <c r="I211" s="41">
        <f t="shared" si="1"/>
        <v>945452.90342019987</v>
      </c>
      <c r="J211" s="41">
        <f t="shared" si="1"/>
        <v>486916.64598000003</v>
      </c>
      <c r="K211" s="41">
        <f t="shared" si="1"/>
        <v>-46155.726060000008</v>
      </c>
      <c r="L211" s="41">
        <f t="shared" si="1"/>
        <v>66600681.212032251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9885237.2834400069</v>
      </c>
      <c r="G215" s="18">
        <v>4810001.9812799999</v>
      </c>
      <c r="H215" s="18">
        <v>112317.08824000001</v>
      </c>
      <c r="I215" s="18">
        <v>146897.71999999997</v>
      </c>
      <c r="J215" s="18">
        <v>81278.899999999994</v>
      </c>
      <c r="K215" s="18">
        <v>0</v>
      </c>
      <c r="L215" s="19">
        <f>SUM(F215:K215)</f>
        <v>15035732.972960008</v>
      </c>
      <c r="M215" s="8"/>
      <c r="N215" s="266"/>
    </row>
    <row r="216" spans="1:14" s="3" customFormat="1" ht="12.2" customHeight="1" x14ac:dyDescent="0.15">
      <c r="A216" s="1" t="s">
        <v>439</v>
      </c>
      <c r="B216" s="2" t="s">
        <v>346</v>
      </c>
      <c r="C216" s="2" t="s">
        <v>291</v>
      </c>
      <c r="D216" s="2" t="s">
        <v>431</v>
      </c>
      <c r="E216" s="6">
        <v>1200</v>
      </c>
      <c r="F216" s="18">
        <v>3342813.7928768005</v>
      </c>
      <c r="G216" s="18">
        <v>1254203.8327648002</v>
      </c>
      <c r="H216" s="18">
        <v>761003.80307113321</v>
      </c>
      <c r="I216" s="18">
        <v>17907.6095456</v>
      </c>
      <c r="J216" s="18">
        <v>0</v>
      </c>
      <c r="K216" s="18">
        <v>0</v>
      </c>
      <c r="L216" s="19">
        <f>SUM(F216:K216)</f>
        <v>5375929.0382583337</v>
      </c>
      <c r="M216" s="8"/>
      <c r="N216" s="266"/>
    </row>
    <row r="217" spans="1:14" s="3" customFormat="1" ht="12.2" customHeight="1" x14ac:dyDescent="0.15">
      <c r="A217" s="1" t="s">
        <v>440</v>
      </c>
      <c r="B217" s="2" t="s">
        <v>346</v>
      </c>
      <c r="C217" s="2" t="s">
        <v>292</v>
      </c>
      <c r="D217" s="2" t="s">
        <v>431</v>
      </c>
      <c r="E217" s="6">
        <v>1300</v>
      </c>
      <c r="F217" s="18">
        <v>752530.4</v>
      </c>
      <c r="G217" s="18">
        <v>377241.74</v>
      </c>
      <c r="H217" s="18">
        <v>1170.1100000000001</v>
      </c>
      <c r="I217" s="18">
        <v>33277.49</v>
      </c>
      <c r="J217" s="18">
        <v>517.70000000000005</v>
      </c>
      <c r="K217" s="18">
        <v>0</v>
      </c>
      <c r="L217" s="19">
        <f>SUM(F217:K217)</f>
        <v>1164737.4400000002</v>
      </c>
      <c r="M217" s="8"/>
      <c r="N217" s="266"/>
    </row>
    <row r="218" spans="1:14" s="3" customFormat="1" ht="12.2" customHeight="1" x14ac:dyDescent="0.15">
      <c r="A218" s="1" t="s">
        <v>441</v>
      </c>
      <c r="B218" s="2" t="s">
        <v>346</v>
      </c>
      <c r="C218" s="2" t="s">
        <v>293</v>
      </c>
      <c r="D218" s="2" t="s">
        <v>431</v>
      </c>
      <c r="E218" s="6">
        <v>1400</v>
      </c>
      <c r="F218" s="18">
        <v>101876.93904</v>
      </c>
      <c r="G218" s="18">
        <v>3536.8571999999995</v>
      </c>
      <c r="H218" s="18">
        <v>66167.815599999987</v>
      </c>
      <c r="I218" s="18">
        <v>3258.7788800000003</v>
      </c>
      <c r="J218" s="18">
        <v>0</v>
      </c>
      <c r="K218" s="18">
        <v>0</v>
      </c>
      <c r="L218" s="19">
        <f>SUM(F218:K218)</f>
        <v>174840.39071999997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2032469.6884000001</v>
      </c>
      <c r="G220" s="18">
        <v>821368.41551999992</v>
      </c>
      <c r="H220" s="18">
        <v>281164.77727999998</v>
      </c>
      <c r="I220" s="18">
        <v>8693.7786400000005</v>
      </c>
      <c r="J220" s="18">
        <v>0</v>
      </c>
      <c r="K220" s="18">
        <v>0</v>
      </c>
      <c r="L220" s="19">
        <f t="shared" ref="L220:L226" si="2">SUM(F220:K220)</f>
        <v>3143696.6598400003</v>
      </c>
      <c r="M220" s="8"/>
      <c r="N220" s="266"/>
    </row>
    <row r="221" spans="1:14" s="3" customFormat="1" ht="12.2" customHeight="1" x14ac:dyDescent="0.15">
      <c r="A221" s="1" t="s">
        <v>443</v>
      </c>
      <c r="B221" s="2" t="s">
        <v>346</v>
      </c>
      <c r="C221" s="2" t="s">
        <v>295</v>
      </c>
      <c r="D221" s="2" t="s">
        <v>431</v>
      </c>
      <c r="E221" s="6">
        <v>2200</v>
      </c>
      <c r="F221" s="18">
        <v>433113.19039999996</v>
      </c>
      <c r="G221" s="18">
        <v>214756.44328000001</v>
      </c>
      <c r="H221" s="18">
        <v>67693.458559999999</v>
      </c>
      <c r="I221" s="18">
        <v>130286.48736</v>
      </c>
      <c r="J221" s="18">
        <v>186118.13248</v>
      </c>
      <c r="K221" s="18">
        <v>0</v>
      </c>
      <c r="L221" s="19">
        <f t="shared" si="2"/>
        <v>1031967.71208</v>
      </c>
      <c r="M221" s="8"/>
      <c r="N221" s="266"/>
    </row>
    <row r="222" spans="1:14" s="3" customFormat="1" ht="12.2" customHeight="1" x14ac:dyDescent="0.15">
      <c r="A222" s="1" t="s">
        <v>444</v>
      </c>
      <c r="B222" s="2" t="s">
        <v>346</v>
      </c>
      <c r="C222" s="2" t="s">
        <v>296</v>
      </c>
      <c r="D222" s="2" t="s">
        <v>431</v>
      </c>
      <c r="E222" s="6">
        <v>2300</v>
      </c>
      <c r="F222" s="18">
        <v>420127.13791999995</v>
      </c>
      <c r="G222" s="18">
        <v>148021.39968000003</v>
      </c>
      <c r="H222" s="18">
        <v>150653.36383999998</v>
      </c>
      <c r="I222" s="18">
        <v>4576.2169600000007</v>
      </c>
      <c r="J222" s="18">
        <v>641.75328000000002</v>
      </c>
      <c r="K222" s="18">
        <v>21778.299200000001</v>
      </c>
      <c r="L222" s="19">
        <f t="shared" si="2"/>
        <v>745798.17087999987</v>
      </c>
      <c r="M222" s="8"/>
      <c r="N222" s="266"/>
    </row>
    <row r="223" spans="1:14" s="3" customFormat="1" ht="12.2" customHeight="1" x14ac:dyDescent="0.15">
      <c r="A223" s="1" t="s">
        <v>445</v>
      </c>
      <c r="B223" s="2" t="s">
        <v>346</v>
      </c>
      <c r="C223" s="2" t="s">
        <v>297</v>
      </c>
      <c r="D223" s="2" t="s">
        <v>431</v>
      </c>
      <c r="E223" s="6">
        <v>2400</v>
      </c>
      <c r="F223" s="18">
        <v>994008.5536000001</v>
      </c>
      <c r="G223" s="18">
        <v>409631.60279999999</v>
      </c>
      <c r="H223" s="18">
        <v>1627.52</v>
      </c>
      <c r="I223" s="18">
        <v>4996.05</v>
      </c>
      <c r="J223" s="18">
        <v>0</v>
      </c>
      <c r="K223" s="18">
        <v>0</v>
      </c>
      <c r="L223" s="19">
        <f t="shared" si="2"/>
        <v>1410263.7264000003</v>
      </c>
      <c r="M223" s="8"/>
      <c r="N223" s="266"/>
    </row>
    <row r="224" spans="1:14" s="3" customFormat="1" ht="12.2" customHeight="1" x14ac:dyDescent="0.15">
      <c r="A224" s="1" t="s">
        <v>446</v>
      </c>
      <c r="B224" s="2" t="s">
        <v>346</v>
      </c>
      <c r="C224" s="2" t="s">
        <v>298</v>
      </c>
      <c r="D224" s="2" t="s">
        <v>431</v>
      </c>
      <c r="E224" s="6">
        <v>2500</v>
      </c>
      <c r="F224" s="18">
        <v>193369.19615999999</v>
      </c>
      <c r="G224" s="18">
        <v>54408.256000000001</v>
      </c>
      <c r="H224" s="18">
        <v>5151.5519999999997</v>
      </c>
      <c r="I224" s="18">
        <v>0</v>
      </c>
      <c r="J224" s="18">
        <v>0</v>
      </c>
      <c r="K224" s="18">
        <v>0</v>
      </c>
      <c r="L224" s="19">
        <f t="shared" si="2"/>
        <v>252929.00415999998</v>
      </c>
      <c r="M224" s="8"/>
      <c r="N224" s="266"/>
    </row>
    <row r="225" spans="1:14" s="3" customFormat="1" ht="12.2" customHeight="1" x14ac:dyDescent="0.15">
      <c r="A225" s="1" t="s">
        <v>447</v>
      </c>
      <c r="B225" s="2" t="s">
        <v>346</v>
      </c>
      <c r="C225" s="2" t="s">
        <v>299</v>
      </c>
      <c r="D225" s="2" t="s">
        <v>431</v>
      </c>
      <c r="E225" s="6">
        <v>2600</v>
      </c>
      <c r="F225" s="18">
        <v>1180006.3659999999</v>
      </c>
      <c r="G225" s="18">
        <v>545444.40703999996</v>
      </c>
      <c r="H225" s="18">
        <v>1236738.9776000001</v>
      </c>
      <c r="I225" s="18">
        <v>166282.00736000002</v>
      </c>
      <c r="J225" s="18">
        <v>16712.678080000002</v>
      </c>
      <c r="K225" s="18">
        <v>-44601.439680000003</v>
      </c>
      <c r="L225" s="19">
        <f t="shared" si="2"/>
        <v>3100582.9964000005</v>
      </c>
      <c r="M225" s="8"/>
      <c r="N225" s="266"/>
    </row>
    <row r="226" spans="1:14" s="3" customFormat="1" ht="12.2" customHeight="1" x14ac:dyDescent="0.15">
      <c r="A226" s="1" t="s">
        <v>448</v>
      </c>
      <c r="B226" s="2" t="s">
        <v>346</v>
      </c>
      <c r="C226" s="2" t="s">
        <v>300</v>
      </c>
      <c r="D226" s="2" t="s">
        <v>431</v>
      </c>
      <c r="E226" s="6">
        <v>2700</v>
      </c>
      <c r="F226" s="18">
        <v>19482.628480000003</v>
      </c>
      <c r="G226" s="18">
        <v>9106.0323200000003</v>
      </c>
      <c r="H226" s="18">
        <v>1604042.75584</v>
      </c>
      <c r="I226" s="18">
        <v>0</v>
      </c>
      <c r="J226" s="18">
        <v>0</v>
      </c>
      <c r="K226" s="18">
        <v>0</v>
      </c>
      <c r="L226" s="19">
        <f t="shared" si="2"/>
        <v>1632631.41664</v>
      </c>
      <c r="M226" s="8"/>
      <c r="N226" s="266"/>
    </row>
    <row r="227" spans="1:14" s="3" customFormat="1" ht="12.2" customHeight="1" x14ac:dyDescent="0.15">
      <c r="A227" s="1" t="s">
        <v>449</v>
      </c>
      <c r="B227" s="2" t="s">
        <v>346</v>
      </c>
      <c r="C227" s="2" t="s">
        <v>343</v>
      </c>
      <c r="D227" s="2" t="s">
        <v>431</v>
      </c>
      <c r="E227" s="6">
        <v>2800</v>
      </c>
      <c r="F227" s="18">
        <v>59747.858239999987</v>
      </c>
      <c r="G227" s="18">
        <v>30337.144319999999</v>
      </c>
      <c r="H227" s="18">
        <v>48427.827840000005</v>
      </c>
      <c r="I227" s="18">
        <v>0</v>
      </c>
      <c r="J227" s="18">
        <v>0</v>
      </c>
      <c r="K227" s="18">
        <v>0</v>
      </c>
      <c r="L227" s="19">
        <f>SUM(F227:K227)</f>
        <v>138512.83040000001</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19414783.034556806</v>
      </c>
      <c r="G229" s="41">
        <f>SUM(G215:G228)</f>
        <v>8678058.1122048013</v>
      </c>
      <c r="H229" s="41">
        <f>SUM(H215:H228)</f>
        <v>4336159.0498711336</v>
      </c>
      <c r="I229" s="41">
        <f>SUM(I215:I228)</f>
        <v>516176.13874559989</v>
      </c>
      <c r="J229" s="41">
        <f>SUM(J215:J228)</f>
        <v>285269.16383999999</v>
      </c>
      <c r="K229" s="41">
        <f t="shared" si="3"/>
        <v>-22823.140480000002</v>
      </c>
      <c r="L229" s="41">
        <f t="shared" si="3"/>
        <v>33207622.358738344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11292811.565630004</v>
      </c>
      <c r="G233" s="18">
        <v>5551889.3288100017</v>
      </c>
      <c r="H233" s="18">
        <v>267475.66398000001</v>
      </c>
      <c r="I233" s="18">
        <v>172489</v>
      </c>
      <c r="J233" s="18">
        <v>48224.79</v>
      </c>
      <c r="K233" s="18">
        <v>0</v>
      </c>
      <c r="L233" s="19">
        <f>SUM(F233:K233)</f>
        <v>17332890.348420005</v>
      </c>
      <c r="M233" s="8"/>
      <c r="N233" s="266"/>
    </row>
    <row r="234" spans="1:14" s="3" customFormat="1" ht="12.2" customHeight="1" x14ac:dyDescent="0.15">
      <c r="A234" s="1" t="s">
        <v>439</v>
      </c>
      <c r="B234" s="2" t="s">
        <v>350</v>
      </c>
      <c r="C234" s="2" t="s">
        <v>291</v>
      </c>
      <c r="D234" s="2" t="s">
        <v>431</v>
      </c>
      <c r="E234" s="6">
        <v>1200</v>
      </c>
      <c r="F234" s="18">
        <v>3308958.7546076006</v>
      </c>
      <c r="G234" s="18">
        <v>1294751.5068361005</v>
      </c>
      <c r="H234" s="18">
        <v>4798594.1323915059</v>
      </c>
      <c r="I234" s="18">
        <v>13870.003184199999</v>
      </c>
      <c r="J234" s="18">
        <v>0</v>
      </c>
      <c r="K234" s="18">
        <v>0</v>
      </c>
      <c r="L234" s="19">
        <f>SUM(F234:K234)</f>
        <v>9416174.3970194049</v>
      </c>
      <c r="M234" s="8"/>
      <c r="N234" s="266"/>
    </row>
    <row r="235" spans="1:14" s="3" customFormat="1" ht="12.2" customHeight="1" x14ac:dyDescent="0.15">
      <c r="A235" s="1" t="s">
        <v>440</v>
      </c>
      <c r="B235" s="2" t="s">
        <v>350</v>
      </c>
      <c r="C235" s="2" t="s">
        <v>292</v>
      </c>
      <c r="D235" s="2" t="s">
        <v>431</v>
      </c>
      <c r="E235" s="6">
        <v>1300</v>
      </c>
      <c r="F235" s="18">
        <v>2697350.6700000004</v>
      </c>
      <c r="G235" s="18">
        <v>1319726.1699999997</v>
      </c>
      <c r="H235" s="18">
        <v>53885.229999999996</v>
      </c>
      <c r="I235" s="18">
        <v>154217.28000000003</v>
      </c>
      <c r="J235" s="18">
        <v>11553.69</v>
      </c>
      <c r="K235" s="18">
        <v>0</v>
      </c>
      <c r="L235" s="19">
        <f>SUM(F235:K235)</f>
        <v>4236733.04</v>
      </c>
      <c r="M235" s="8"/>
      <c r="N235" s="266"/>
    </row>
    <row r="236" spans="1:14" s="3" customFormat="1" ht="12.2" customHeight="1" x14ac:dyDescent="0.15">
      <c r="A236" s="1" t="s">
        <v>441</v>
      </c>
      <c r="B236" s="2" t="s">
        <v>350</v>
      </c>
      <c r="C236" s="2" t="s">
        <v>293</v>
      </c>
      <c r="D236" s="2" t="s">
        <v>431</v>
      </c>
      <c r="E236" s="6">
        <v>1400</v>
      </c>
      <c r="F236" s="18">
        <v>467092.36183000001</v>
      </c>
      <c r="G236" s="18">
        <v>27051.671900000008</v>
      </c>
      <c r="H236" s="18">
        <v>455903.18994999997</v>
      </c>
      <c r="I236" s="18">
        <v>22271.532760000002</v>
      </c>
      <c r="J236" s="18">
        <v>0</v>
      </c>
      <c r="K236" s="18">
        <v>-214571.34000000003</v>
      </c>
      <c r="L236" s="19">
        <f>SUM(F236:K236)</f>
        <v>757747.41644000006</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3194903.9280500002</v>
      </c>
      <c r="G238" s="18">
        <v>1235869.5672900002</v>
      </c>
      <c r="H238" s="18">
        <v>406003.49580999999</v>
      </c>
      <c r="I238" s="18">
        <v>11771.362280000001</v>
      </c>
      <c r="J238" s="18">
        <v>0</v>
      </c>
      <c r="K238" s="18">
        <v>0</v>
      </c>
      <c r="L238" s="19">
        <f t="shared" ref="L238:L244" si="4">SUM(F238:K238)</f>
        <v>4848548.3534300011</v>
      </c>
      <c r="M238" s="8"/>
      <c r="N238" s="266"/>
    </row>
    <row r="239" spans="1:14" s="3" customFormat="1" ht="12.2" customHeight="1" x14ac:dyDescent="0.15">
      <c r="A239" s="1" t="s">
        <v>443</v>
      </c>
      <c r="B239" s="2" t="s">
        <v>350</v>
      </c>
      <c r="C239" s="2" t="s">
        <v>295</v>
      </c>
      <c r="D239" s="2" t="s">
        <v>431</v>
      </c>
      <c r="E239" s="6">
        <v>2200</v>
      </c>
      <c r="F239" s="18">
        <v>680031.72080000001</v>
      </c>
      <c r="G239" s="18">
        <v>261919.64406000002</v>
      </c>
      <c r="H239" s="18">
        <v>98766.549620000005</v>
      </c>
      <c r="I239" s="18">
        <v>196557.24222000001</v>
      </c>
      <c r="J239" s="18">
        <v>268375.69996</v>
      </c>
      <c r="K239" s="18">
        <v>0</v>
      </c>
      <c r="L239" s="19">
        <f t="shared" si="4"/>
        <v>1505650.85666</v>
      </c>
      <c r="M239" s="8"/>
      <c r="N239" s="266"/>
    </row>
    <row r="240" spans="1:14" s="3" customFormat="1" ht="12.2" customHeight="1" x14ac:dyDescent="0.15">
      <c r="A240" s="1" t="s">
        <v>444</v>
      </c>
      <c r="B240" s="2" t="s">
        <v>350</v>
      </c>
      <c r="C240" s="2" t="s">
        <v>296</v>
      </c>
      <c r="D240" s="2" t="s">
        <v>431</v>
      </c>
      <c r="E240" s="6">
        <v>2300</v>
      </c>
      <c r="F240" s="18">
        <v>605808.32833999989</v>
      </c>
      <c r="G240" s="18">
        <v>213441.57186000003</v>
      </c>
      <c r="H240" s="18">
        <v>217236.77017999999</v>
      </c>
      <c r="I240" s="18">
        <v>6598.7414200000003</v>
      </c>
      <c r="J240" s="18">
        <v>925.38531</v>
      </c>
      <c r="K240" s="18">
        <v>31403.52965</v>
      </c>
      <c r="L240" s="19">
        <f t="shared" si="4"/>
        <v>1075414.3267599999</v>
      </c>
      <c r="M240" s="8"/>
      <c r="N240" s="266"/>
    </row>
    <row r="241" spans="1:14" s="3" customFormat="1" ht="12.2" customHeight="1" x14ac:dyDescent="0.15">
      <c r="A241" s="1" t="s">
        <v>445</v>
      </c>
      <c r="B241" s="2" t="s">
        <v>350</v>
      </c>
      <c r="C241" s="2" t="s">
        <v>297</v>
      </c>
      <c r="D241" s="2" t="s">
        <v>431</v>
      </c>
      <c r="E241" s="6">
        <v>2400</v>
      </c>
      <c r="F241" s="18">
        <v>1199467.4097000002</v>
      </c>
      <c r="G241" s="18">
        <v>473193.7181</v>
      </c>
      <c r="H241" s="18">
        <v>3515.04</v>
      </c>
      <c r="I241" s="18">
        <v>0</v>
      </c>
      <c r="J241" s="18">
        <v>0</v>
      </c>
      <c r="K241" s="18">
        <v>0</v>
      </c>
      <c r="L241" s="19">
        <f t="shared" si="4"/>
        <v>1676176.1678000002</v>
      </c>
      <c r="M241" s="8"/>
      <c r="N241" s="266"/>
    </row>
    <row r="242" spans="1:14" s="3" customFormat="1" ht="12.2" customHeight="1" x14ac:dyDescent="0.15">
      <c r="A242" s="1" t="s">
        <v>446</v>
      </c>
      <c r="B242" s="2" t="s">
        <v>350</v>
      </c>
      <c r="C242" s="2" t="s">
        <v>298</v>
      </c>
      <c r="D242" s="2" t="s">
        <v>431</v>
      </c>
      <c r="E242" s="6">
        <v>2500</v>
      </c>
      <c r="F242" s="18">
        <v>278831.47482</v>
      </c>
      <c r="G242" s="18">
        <v>78454.762000000002</v>
      </c>
      <c r="H242" s="18">
        <v>7428.3540000000003</v>
      </c>
      <c r="I242" s="18">
        <v>0</v>
      </c>
      <c r="J242" s="18">
        <v>0</v>
      </c>
      <c r="K242" s="18">
        <v>0</v>
      </c>
      <c r="L242" s="19">
        <f t="shared" si="4"/>
        <v>364714.59081999998</v>
      </c>
      <c r="M242" s="8"/>
      <c r="N242" s="266"/>
    </row>
    <row r="243" spans="1:14" s="3" customFormat="1" ht="12.2" customHeight="1" x14ac:dyDescent="0.15">
      <c r="A243" s="1" t="s">
        <v>447</v>
      </c>
      <c r="B243" s="2" t="s">
        <v>350</v>
      </c>
      <c r="C243" s="2" t="s">
        <v>299</v>
      </c>
      <c r="D243" s="2" t="s">
        <v>431</v>
      </c>
      <c r="E243" s="6">
        <v>2600</v>
      </c>
      <c r="F243" s="18">
        <v>2054847.0732499999</v>
      </c>
      <c r="G243" s="18">
        <v>1034406.42533</v>
      </c>
      <c r="H243" s="18">
        <v>1934643.3364500001</v>
      </c>
      <c r="I243" s="18">
        <v>239772.71597000002</v>
      </c>
      <c r="J243" s="18">
        <v>43536.284910000002</v>
      </c>
      <c r="K243" s="18">
        <v>-64313.683110000005</v>
      </c>
      <c r="L243" s="19">
        <f t="shared" si="4"/>
        <v>5242892.1528000003</v>
      </c>
      <c r="M243" s="8"/>
      <c r="N243" s="266"/>
    </row>
    <row r="244" spans="1:14" s="3" customFormat="1" ht="12.2" customHeight="1" x14ac:dyDescent="0.15">
      <c r="A244" s="1" t="s">
        <v>448</v>
      </c>
      <c r="B244" s="2" t="s">
        <v>350</v>
      </c>
      <c r="C244" s="2" t="s">
        <v>300</v>
      </c>
      <c r="D244" s="2" t="s">
        <v>431</v>
      </c>
      <c r="E244" s="6">
        <v>2700</v>
      </c>
      <c r="F244" s="18">
        <v>28093.254460000004</v>
      </c>
      <c r="G244" s="18">
        <v>13130.573390000001</v>
      </c>
      <c r="H244" s="18">
        <v>2312972.36668</v>
      </c>
      <c r="I244" s="18">
        <v>0</v>
      </c>
      <c r="J244" s="18">
        <v>0</v>
      </c>
      <c r="K244" s="18">
        <v>0</v>
      </c>
      <c r="L244" s="19">
        <f t="shared" si="4"/>
        <v>2354196.19453</v>
      </c>
      <c r="M244" s="8"/>
      <c r="N244" s="266"/>
    </row>
    <row r="245" spans="1:14" s="3" customFormat="1" ht="12.2" customHeight="1" x14ac:dyDescent="0.15">
      <c r="A245" s="1" t="s">
        <v>449</v>
      </c>
      <c r="B245" s="2" t="s">
        <v>350</v>
      </c>
      <c r="C245" s="2" t="s">
        <v>343</v>
      </c>
      <c r="D245" s="2" t="s">
        <v>431</v>
      </c>
      <c r="E245" s="6">
        <v>2800</v>
      </c>
      <c r="F245" s="18">
        <v>86154.277729999987</v>
      </c>
      <c r="G245" s="18">
        <v>43745.07864</v>
      </c>
      <c r="H245" s="18">
        <v>69831.198180000007</v>
      </c>
      <c r="I245" s="18">
        <v>0</v>
      </c>
      <c r="J245" s="18">
        <v>0</v>
      </c>
      <c r="K245" s="18">
        <v>0</v>
      </c>
      <c r="L245" s="19">
        <f>SUM(F245:K245)</f>
        <v>199730.55455</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25894350.819217604</v>
      </c>
      <c r="G247" s="41">
        <f t="shared" si="5"/>
        <v>11547580.018216105</v>
      </c>
      <c r="H247" s="41">
        <f t="shared" si="5"/>
        <v>10626255.327241505</v>
      </c>
      <c r="I247" s="41">
        <f t="shared" si="5"/>
        <v>817547.87783420004</v>
      </c>
      <c r="J247" s="41">
        <f t="shared" si="5"/>
        <v>372615.85017999995</v>
      </c>
      <c r="K247" s="41">
        <f t="shared" si="5"/>
        <v>-247481.49346000003</v>
      </c>
      <c r="L247" s="41">
        <f t="shared" si="5"/>
        <v>49010868.399229415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109725.14</v>
      </c>
      <c r="G251" s="18">
        <v>23157</v>
      </c>
      <c r="H251" s="18">
        <v>0</v>
      </c>
      <c r="I251" s="18">
        <v>0</v>
      </c>
      <c r="J251" s="18">
        <v>0</v>
      </c>
      <c r="K251" s="18">
        <v>0</v>
      </c>
      <c r="L251" s="19">
        <f t="shared" si="6"/>
        <v>132882.14000000001</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v>175419.09</v>
      </c>
      <c r="L255" s="19">
        <f t="shared" si="6"/>
        <v>175419.09</v>
      </c>
      <c r="M255" s="8"/>
      <c r="N255" s="266"/>
    </row>
    <row r="256" spans="1:14" s="3" customFormat="1" ht="12.2" customHeight="1" thickTop="1" thickBot="1" x14ac:dyDescent="0.2">
      <c r="A256" s="38" t="s">
        <v>461</v>
      </c>
      <c r="B256" s="40">
        <v>10</v>
      </c>
      <c r="C256" s="40">
        <v>7</v>
      </c>
      <c r="D256" s="39" t="s">
        <v>431</v>
      </c>
      <c r="E256" s="40"/>
      <c r="F256" s="41">
        <f t="shared" ref="F256:K256" si="7">SUM(F250:F255)</f>
        <v>109725.14</v>
      </c>
      <c r="G256" s="41">
        <f t="shared" si="7"/>
        <v>23157</v>
      </c>
      <c r="H256" s="41">
        <f t="shared" si="7"/>
        <v>0</v>
      </c>
      <c r="I256" s="41">
        <f t="shared" si="7"/>
        <v>0</v>
      </c>
      <c r="J256" s="41">
        <f t="shared" si="7"/>
        <v>0</v>
      </c>
      <c r="K256" s="41">
        <f t="shared" si="7"/>
        <v>175419.09</v>
      </c>
      <c r="L256" s="41">
        <f>SUM(F256:K256)</f>
        <v>308301.23</v>
      </c>
      <c r="M256" s="8"/>
      <c r="N256" s="266"/>
    </row>
    <row r="257" spans="1:14" s="3" customFormat="1" ht="12.2" customHeight="1" thickTop="1" x14ac:dyDescent="0.15">
      <c r="A257" s="38" t="s">
        <v>462</v>
      </c>
      <c r="B257" s="40">
        <v>10</v>
      </c>
      <c r="C257" s="40">
        <v>8</v>
      </c>
      <c r="D257" s="39" t="s">
        <v>431</v>
      </c>
      <c r="E257" s="40"/>
      <c r="F257" s="41">
        <f t="shared" ref="F257:L257" si="8">F211+F229+F247+F256</f>
        <v>85326989.860000014</v>
      </c>
      <c r="G257" s="41">
        <f t="shared" si="8"/>
        <v>37863712.720000006</v>
      </c>
      <c r="H257" s="41">
        <f t="shared" si="8"/>
        <v>22653833.310000002</v>
      </c>
      <c r="I257" s="41">
        <f t="shared" si="8"/>
        <v>2279176.92</v>
      </c>
      <c r="J257" s="41">
        <f t="shared" si="8"/>
        <v>1144801.6600000001</v>
      </c>
      <c r="K257" s="41">
        <f t="shared" si="8"/>
        <v>-141041.27000000005</v>
      </c>
      <c r="L257" s="41">
        <f t="shared" si="8"/>
        <v>149127473.19999999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7973500</v>
      </c>
      <c r="L260" s="19">
        <f>SUM(F260:K260)</f>
        <v>7973500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2130970.15</v>
      </c>
      <c r="L261" s="19">
        <f>SUM(F261:K261)</f>
        <v>2130970.15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30921.65</v>
      </c>
      <c r="L264" s="19">
        <f t="shared" ref="L264:L270" si="9">SUM(F264:K264)</f>
        <v>30921.65</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250250</v>
      </c>
      <c r="L266" s="19">
        <f t="shared" si="9"/>
        <v>250250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10385641.800000001</v>
      </c>
      <c r="L270" s="41">
        <f t="shared" si="9"/>
        <v>10385641.800000001</v>
      </c>
      <c r="N270" s="264"/>
    </row>
    <row r="271" spans="1:14" s="3" customFormat="1" ht="12.2" customHeight="1" thickTop="1" x14ac:dyDescent="0.2">
      <c r="A271" s="43" t="s">
        <v>464</v>
      </c>
      <c r="B271" s="40">
        <v>10</v>
      </c>
      <c r="C271" s="40">
        <v>18</v>
      </c>
      <c r="D271" s="39" t="s">
        <v>431</v>
      </c>
      <c r="E271" s="40"/>
      <c r="F271" s="42">
        <f t="shared" ref="F271:L271" si="11">F257+F270</f>
        <v>85326989.860000014</v>
      </c>
      <c r="G271" s="42">
        <f t="shared" si="11"/>
        <v>37863712.720000006</v>
      </c>
      <c r="H271" s="42">
        <f t="shared" si="11"/>
        <v>22653833.310000002</v>
      </c>
      <c r="I271" s="42">
        <f t="shared" si="11"/>
        <v>2279176.92</v>
      </c>
      <c r="J271" s="42">
        <f t="shared" si="11"/>
        <v>1144801.6600000001</v>
      </c>
      <c r="K271" s="42">
        <f t="shared" si="11"/>
        <v>10244600.530000001</v>
      </c>
      <c r="L271" s="42">
        <f t="shared" si="11"/>
        <v>159513115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581.25</v>
      </c>
      <c r="G276" s="18">
        <v>127.31</v>
      </c>
      <c r="H276" s="18">
        <v>52000</v>
      </c>
      <c r="I276" s="18">
        <v>204027.58000000002</v>
      </c>
      <c r="J276" s="18">
        <v>93272.799999999988</v>
      </c>
      <c r="K276" s="18">
        <v>0</v>
      </c>
      <c r="L276" s="19">
        <f>SUM(F276:K276)</f>
        <v>350008.94</v>
      </c>
      <c r="M276" s="8"/>
      <c r="N276" s="266"/>
    </row>
    <row r="277" spans="1:14" s="3" customFormat="1" ht="12.2" customHeight="1" x14ac:dyDescent="0.15">
      <c r="A277" s="1" t="s">
        <v>439</v>
      </c>
      <c r="B277" s="2" t="s">
        <v>357</v>
      </c>
      <c r="C277" s="2" t="s">
        <v>291</v>
      </c>
      <c r="D277" s="2" t="s">
        <v>431</v>
      </c>
      <c r="E277" s="6">
        <v>1200</v>
      </c>
      <c r="F277" s="18">
        <v>2363803.7129296004</v>
      </c>
      <c r="G277" s="18">
        <v>658998.73504439997</v>
      </c>
      <c r="H277" s="18">
        <v>149202.9726562</v>
      </c>
      <c r="I277" s="18">
        <v>230183.02600940003</v>
      </c>
      <c r="J277" s="18">
        <v>206557.43820510001</v>
      </c>
      <c r="K277" s="18">
        <v>83.158012499999998</v>
      </c>
      <c r="L277" s="19">
        <f>SUM(F277:K277)</f>
        <v>3608829.0428572004</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387961.93000000005</v>
      </c>
      <c r="G279" s="18">
        <v>80027.289999999994</v>
      </c>
      <c r="H279" s="18">
        <v>43133.020000000004</v>
      </c>
      <c r="I279" s="18">
        <v>75757.22</v>
      </c>
      <c r="J279" s="18">
        <v>0</v>
      </c>
      <c r="K279" s="18">
        <v>0</v>
      </c>
      <c r="L279" s="19">
        <f>SUM(F279:K279)</f>
        <v>586879.46000000008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117303.637694</v>
      </c>
      <c r="G281" s="18">
        <v>50058.797750800004</v>
      </c>
      <c r="H281" s="18">
        <v>192356.48909610001</v>
      </c>
      <c r="I281" s="18">
        <v>2886.0256701000003</v>
      </c>
      <c r="J281" s="18">
        <v>0</v>
      </c>
      <c r="K281" s="18">
        <v>0</v>
      </c>
      <c r="L281" s="19">
        <f t="shared" ref="L281:L287" si="12">SUM(F281:K281)</f>
        <v>362604.95021100005</v>
      </c>
      <c r="M281" s="8"/>
      <c r="N281" s="266"/>
    </row>
    <row r="282" spans="1:14" s="3" customFormat="1" ht="12.2" customHeight="1" x14ac:dyDescent="0.15">
      <c r="A282" s="1" t="s">
        <v>443</v>
      </c>
      <c r="B282" s="2" t="s">
        <v>357</v>
      </c>
      <c r="C282" s="2" t="s">
        <v>295</v>
      </c>
      <c r="D282" s="2" t="s">
        <v>431</v>
      </c>
      <c r="E282" s="6">
        <v>2200</v>
      </c>
      <c r="F282" s="18">
        <v>312132.25971999997</v>
      </c>
      <c r="G282" s="18">
        <v>132330.01518000002</v>
      </c>
      <c r="H282" s="18">
        <v>136749.98472000001</v>
      </c>
      <c r="I282" s="18">
        <v>3901.3883000000005</v>
      </c>
      <c r="J282" s="18">
        <v>2031.1161</v>
      </c>
      <c r="K282" s="18">
        <v>0</v>
      </c>
      <c r="L282" s="19">
        <f t="shared" si="12"/>
        <v>587144.76401999989</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97054.53</v>
      </c>
      <c r="G284" s="18">
        <v>66095.930000000008</v>
      </c>
      <c r="H284" s="18">
        <v>480</v>
      </c>
      <c r="I284" s="18">
        <v>0</v>
      </c>
      <c r="J284" s="18">
        <v>0</v>
      </c>
      <c r="K284" s="18">
        <v>0</v>
      </c>
      <c r="L284" s="19">
        <f t="shared" si="12"/>
        <v>163630.46000000002</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89627.335210000005</v>
      </c>
      <c r="L285" s="19">
        <f t="shared" si="12"/>
        <v>89627.335210000005</v>
      </c>
      <c r="M285" s="8"/>
      <c r="N285" s="266"/>
    </row>
    <row r="286" spans="1:14" s="3" customFormat="1" ht="12.2" customHeight="1" x14ac:dyDescent="0.15">
      <c r="A286" s="1" t="s">
        <v>447</v>
      </c>
      <c r="B286" s="2" t="s">
        <v>357</v>
      </c>
      <c r="C286" s="2" t="s">
        <v>299</v>
      </c>
      <c r="D286" s="2" t="s">
        <v>431</v>
      </c>
      <c r="E286" s="6">
        <v>2600</v>
      </c>
      <c r="F286" s="18">
        <v>58628.985930000003</v>
      </c>
      <c r="G286" s="18">
        <v>0</v>
      </c>
      <c r="H286" s="18">
        <v>0</v>
      </c>
      <c r="I286" s="18">
        <v>0</v>
      </c>
      <c r="J286" s="18">
        <v>275733.42</v>
      </c>
      <c r="K286" s="18">
        <v>31569.46128</v>
      </c>
      <c r="L286" s="19">
        <f t="shared" si="12"/>
        <v>365931.86721</v>
      </c>
      <c r="M286" s="8"/>
      <c r="N286" s="266"/>
    </row>
    <row r="287" spans="1:14" s="3" customFormat="1" ht="12.2" customHeight="1" x14ac:dyDescent="0.15">
      <c r="A287" s="1" t="s">
        <v>448</v>
      </c>
      <c r="B287" s="2" t="s">
        <v>357</v>
      </c>
      <c r="C287" s="2" t="s">
        <v>300</v>
      </c>
      <c r="D287" s="2" t="s">
        <v>431</v>
      </c>
      <c r="E287" s="6">
        <v>2700</v>
      </c>
      <c r="F287" s="18">
        <v>0</v>
      </c>
      <c r="G287" s="18">
        <v>0</v>
      </c>
      <c r="H287" s="18">
        <v>10956.402142299999</v>
      </c>
      <c r="I287" s="18">
        <v>0</v>
      </c>
      <c r="J287" s="18">
        <v>0</v>
      </c>
      <c r="K287" s="18">
        <v>0</v>
      </c>
      <c r="L287" s="19">
        <f t="shared" si="12"/>
        <v>10956.402142299999</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3337466.3062736001</v>
      </c>
      <c r="G290" s="42">
        <f t="shared" si="13"/>
        <v>987638.07797520014</v>
      </c>
      <c r="H290" s="42">
        <f t="shared" si="13"/>
        <v>584878.86861460004</v>
      </c>
      <c r="I290" s="42">
        <f t="shared" si="13"/>
        <v>516755.23997950007</v>
      </c>
      <c r="J290" s="42">
        <f t="shared" si="13"/>
        <v>577594.77430509997</v>
      </c>
      <c r="K290" s="42">
        <f t="shared" si="13"/>
        <v>121279.95450250001</v>
      </c>
      <c r="L290" s="41">
        <f t="shared" si="13"/>
        <v>6125613.2216504999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0</v>
      </c>
      <c r="I295" s="18">
        <v>0</v>
      </c>
      <c r="J295" s="18">
        <v>0</v>
      </c>
      <c r="K295" s="18">
        <v>0</v>
      </c>
      <c r="L295" s="19">
        <f>SUM(F295:K295)</f>
        <v>0</v>
      </c>
      <c r="M295" s="8"/>
      <c r="N295" s="266"/>
    </row>
    <row r="296" spans="1:14" s="3" customFormat="1" ht="12.2" customHeight="1" x14ac:dyDescent="0.15">
      <c r="A296" s="1" t="s">
        <v>439</v>
      </c>
      <c r="B296" s="2" t="s">
        <v>358</v>
      </c>
      <c r="C296" s="2" t="s">
        <v>291</v>
      </c>
      <c r="D296" s="2" t="s">
        <v>431</v>
      </c>
      <c r="E296" s="6">
        <v>1200</v>
      </c>
      <c r="F296" s="18">
        <v>350590.14306879998</v>
      </c>
      <c r="G296" s="18">
        <v>160539.4228032</v>
      </c>
      <c r="H296" s="18">
        <v>65307.081753600003</v>
      </c>
      <c r="I296" s="18">
        <v>22740.998323200001</v>
      </c>
      <c r="J296" s="18">
        <v>40154.350732799998</v>
      </c>
      <c r="K296" s="18">
        <v>37.185600000000001</v>
      </c>
      <c r="L296" s="19">
        <f>SUM(F296:K296)</f>
        <v>639369.18228159996</v>
      </c>
      <c r="M296" s="8"/>
      <c r="N296" s="266"/>
    </row>
    <row r="297" spans="1:14" s="3" customFormat="1" ht="12.2" customHeight="1" x14ac:dyDescent="0.15">
      <c r="A297" s="1" t="s">
        <v>440</v>
      </c>
      <c r="B297" s="2" t="s">
        <v>358</v>
      </c>
      <c r="C297" s="2" t="s">
        <v>292</v>
      </c>
      <c r="D297" s="2" t="s">
        <v>431</v>
      </c>
      <c r="E297" s="6">
        <v>1300</v>
      </c>
      <c r="F297" s="18">
        <v>1500</v>
      </c>
      <c r="G297" s="18">
        <v>0</v>
      </c>
      <c r="H297" s="18">
        <v>1362.58</v>
      </c>
      <c r="I297" s="18">
        <v>817.95</v>
      </c>
      <c r="J297" s="18">
        <v>550.36</v>
      </c>
      <c r="K297" s="18">
        <v>0</v>
      </c>
      <c r="L297" s="19">
        <f>SUM(F297:K297)</f>
        <v>4230.8899999999994</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18870.796032000002</v>
      </c>
      <c r="G300" s="18">
        <v>4991.3639424000003</v>
      </c>
      <c r="H300" s="18">
        <v>86015.661580799991</v>
      </c>
      <c r="I300" s="18">
        <v>1290.5382528</v>
      </c>
      <c r="J300" s="18">
        <v>0</v>
      </c>
      <c r="K300" s="18">
        <v>0</v>
      </c>
      <c r="L300" s="19">
        <f t="shared" ref="L300:L306" si="14">SUM(F300:K300)</f>
        <v>111168.35980799999</v>
      </c>
      <c r="M300" s="8"/>
      <c r="N300" s="266"/>
    </row>
    <row r="301" spans="1:14" s="3" customFormat="1" ht="12.2" customHeight="1" x14ac:dyDescent="0.15">
      <c r="A301" s="1" t="s">
        <v>443</v>
      </c>
      <c r="B301" s="2" t="s">
        <v>358</v>
      </c>
      <c r="C301" s="2" t="s">
        <v>295</v>
      </c>
      <c r="D301" s="2" t="s">
        <v>431</v>
      </c>
      <c r="E301" s="6">
        <v>2200</v>
      </c>
      <c r="F301" s="18">
        <v>96070.74175999999</v>
      </c>
      <c r="G301" s="18">
        <v>38845.197440000004</v>
      </c>
      <c r="H301" s="18">
        <v>18704.501760000003</v>
      </c>
      <c r="I301" s="18">
        <v>1263.6064000000001</v>
      </c>
      <c r="J301" s="18">
        <v>1004.3488</v>
      </c>
      <c r="K301" s="18">
        <v>0</v>
      </c>
      <c r="L301" s="19">
        <f t="shared" si="14"/>
        <v>155888.39616</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43648.543680000002</v>
      </c>
      <c r="L304" s="19">
        <f t="shared" si="14"/>
        <v>43648.543680000002</v>
      </c>
      <c r="M304" s="8"/>
      <c r="N304" s="266"/>
    </row>
    <row r="305" spans="1:14" s="3" customFormat="1" ht="12.2" customHeight="1" x14ac:dyDescent="0.15">
      <c r="A305" s="1" t="s">
        <v>447</v>
      </c>
      <c r="B305" s="2" t="s">
        <v>358</v>
      </c>
      <c r="C305" s="2" t="s">
        <v>299</v>
      </c>
      <c r="D305" s="2" t="s">
        <v>431</v>
      </c>
      <c r="E305" s="6">
        <v>2600</v>
      </c>
      <c r="F305" s="18">
        <v>28990.933440000001</v>
      </c>
      <c r="G305" s="18">
        <v>0</v>
      </c>
      <c r="H305" s="18">
        <v>0</v>
      </c>
      <c r="I305" s="18">
        <v>0</v>
      </c>
      <c r="J305" s="18">
        <v>81593.52</v>
      </c>
      <c r="K305" s="18">
        <v>15610.506239999999</v>
      </c>
      <c r="L305" s="19">
        <f t="shared" si="14"/>
        <v>126194.95968000001</v>
      </c>
      <c r="M305" s="8"/>
      <c r="N305" s="266"/>
    </row>
    <row r="306" spans="1:14" s="3" customFormat="1" ht="12.2" customHeight="1" x14ac:dyDescent="0.15">
      <c r="A306" s="1" t="s">
        <v>448</v>
      </c>
      <c r="B306" s="2" t="s">
        <v>358</v>
      </c>
      <c r="C306" s="2" t="s">
        <v>300</v>
      </c>
      <c r="D306" s="2" t="s">
        <v>431</v>
      </c>
      <c r="E306" s="6">
        <v>2700</v>
      </c>
      <c r="F306" s="18">
        <v>0</v>
      </c>
      <c r="G306" s="18">
        <v>0</v>
      </c>
      <c r="H306" s="18">
        <v>4649.3852543999992</v>
      </c>
      <c r="I306" s="18">
        <v>0</v>
      </c>
      <c r="J306" s="18">
        <v>0</v>
      </c>
      <c r="K306" s="18">
        <v>0</v>
      </c>
      <c r="L306" s="19">
        <f t="shared" si="14"/>
        <v>4649.3852543999992</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496022.61430079996</v>
      </c>
      <c r="G309" s="42">
        <f t="shared" si="15"/>
        <v>204375.98418560001</v>
      </c>
      <c r="H309" s="42">
        <f t="shared" si="15"/>
        <v>176039.2103488</v>
      </c>
      <c r="I309" s="42">
        <f t="shared" si="15"/>
        <v>26113.092976000004</v>
      </c>
      <c r="J309" s="42">
        <f t="shared" si="15"/>
        <v>123302.57953280001</v>
      </c>
      <c r="K309" s="42">
        <f t="shared" si="15"/>
        <v>59296.235520000002</v>
      </c>
      <c r="L309" s="41">
        <f t="shared" si="15"/>
        <v>1085149.7168640001</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0</v>
      </c>
      <c r="J314" s="18">
        <v>0</v>
      </c>
      <c r="K314" s="18">
        <v>0</v>
      </c>
      <c r="L314" s="19">
        <f>SUM(F314:K314)</f>
        <v>0</v>
      </c>
      <c r="M314" s="8"/>
      <c r="N314" s="266"/>
    </row>
    <row r="315" spans="1:14" s="3" customFormat="1" ht="12.2" customHeight="1" x14ac:dyDescent="0.15">
      <c r="A315" s="1" t="s">
        <v>439</v>
      </c>
      <c r="B315" s="2" t="s">
        <v>359</v>
      </c>
      <c r="C315" s="2" t="s">
        <v>291</v>
      </c>
      <c r="D315" s="2" t="s">
        <v>431</v>
      </c>
      <c r="E315" s="6">
        <v>1200</v>
      </c>
      <c r="F315" s="18">
        <v>637117.14400159998</v>
      </c>
      <c r="G315" s="18">
        <v>274394.08215239999</v>
      </c>
      <c r="H315" s="18">
        <v>67451.085590200004</v>
      </c>
      <c r="I315" s="18">
        <v>23487.575667400004</v>
      </c>
      <c r="J315" s="18">
        <v>41472.601062100002</v>
      </c>
      <c r="K315" s="18">
        <v>38.406387500000001</v>
      </c>
      <c r="L315" s="19">
        <f>SUM(F315:K315)</f>
        <v>1043960.8948612001</v>
      </c>
      <c r="M315" s="8"/>
      <c r="N315" s="266"/>
    </row>
    <row r="316" spans="1:14" s="3" customFormat="1" ht="12.2" customHeight="1" x14ac:dyDescent="0.15">
      <c r="A316" s="1" t="s">
        <v>440</v>
      </c>
      <c r="B316" s="2" t="s">
        <v>359</v>
      </c>
      <c r="C316" s="2" t="s">
        <v>292</v>
      </c>
      <c r="D316" s="2" t="s">
        <v>431</v>
      </c>
      <c r="E316" s="6">
        <v>1300</v>
      </c>
      <c r="F316" s="18">
        <v>70137.100000000006</v>
      </c>
      <c r="G316" s="18">
        <v>17058</v>
      </c>
      <c r="H316" s="18">
        <v>10561.53</v>
      </c>
      <c r="I316" s="18">
        <v>22425.64</v>
      </c>
      <c r="J316" s="18">
        <v>204938.63999999998</v>
      </c>
      <c r="K316" s="18">
        <v>0</v>
      </c>
      <c r="L316" s="19">
        <f>SUM(F316:K316)</f>
        <v>325120.90999999997</v>
      </c>
      <c r="M316" s="8"/>
      <c r="N316" s="266"/>
    </row>
    <row r="317" spans="1:14" s="3" customFormat="1" ht="12.2" customHeight="1" x14ac:dyDescent="0.15">
      <c r="A317" s="1" t="s">
        <v>441</v>
      </c>
      <c r="B317" s="2" t="s">
        <v>359</v>
      </c>
      <c r="C317" s="2" t="s">
        <v>293</v>
      </c>
      <c r="D317" s="2" t="s">
        <v>431</v>
      </c>
      <c r="E317" s="6">
        <v>1400</v>
      </c>
      <c r="F317" s="18">
        <v>76296.17</v>
      </c>
      <c r="G317" s="18">
        <v>9785.67</v>
      </c>
      <c r="H317" s="18">
        <v>130388.9</v>
      </c>
      <c r="I317" s="18">
        <v>77001.040000000008</v>
      </c>
      <c r="J317" s="18">
        <v>674.96</v>
      </c>
      <c r="K317" s="18">
        <v>187039.94</v>
      </c>
      <c r="L317" s="19">
        <f>SUM(F317:K317)</f>
        <v>481186.68000000005</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52379.786273999998</v>
      </c>
      <c r="G319" s="18">
        <v>18997.7283068</v>
      </c>
      <c r="H319" s="18">
        <v>88839.519323100001</v>
      </c>
      <c r="I319" s="18">
        <v>1332.9060771000002</v>
      </c>
      <c r="J319" s="18">
        <v>0</v>
      </c>
      <c r="K319" s="18">
        <v>0</v>
      </c>
      <c r="L319" s="19">
        <f t="shared" ref="L319:L325" si="16">SUM(F319:K319)</f>
        <v>161549.939981</v>
      </c>
      <c r="M319" s="8"/>
      <c r="N319" s="266"/>
    </row>
    <row r="320" spans="1:14" s="3" customFormat="1" ht="12.2" customHeight="1" x14ac:dyDescent="0.15">
      <c r="A320" s="1" t="s">
        <v>443</v>
      </c>
      <c r="B320" s="2" t="s">
        <v>359</v>
      </c>
      <c r="C320" s="2" t="s">
        <v>295</v>
      </c>
      <c r="D320" s="2" t="s">
        <v>431</v>
      </c>
      <c r="E320" s="6">
        <v>2200</v>
      </c>
      <c r="F320" s="18">
        <v>141530.57851999998</v>
      </c>
      <c r="G320" s="18">
        <v>56013.38738</v>
      </c>
      <c r="H320" s="18">
        <v>135582.13352</v>
      </c>
      <c r="I320" s="18">
        <v>11133.7253</v>
      </c>
      <c r="J320" s="18">
        <v>1448.2350999999999</v>
      </c>
      <c r="K320" s="18">
        <v>0</v>
      </c>
      <c r="L320" s="19">
        <f t="shared" si="16"/>
        <v>345708.05981999997</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71057.261110000007</v>
      </c>
      <c r="L323" s="19">
        <f t="shared" si="16"/>
        <v>71057.261110000007</v>
      </c>
      <c r="M323" s="8"/>
      <c r="N323" s="266"/>
    </row>
    <row r="324" spans="1:14" s="3" customFormat="1" ht="12.2" customHeight="1" x14ac:dyDescent="0.15">
      <c r="A324" s="1" t="s">
        <v>447</v>
      </c>
      <c r="B324" s="2" t="s">
        <v>359</v>
      </c>
      <c r="C324" s="2" t="s">
        <v>299</v>
      </c>
      <c r="D324" s="2" t="s">
        <v>431</v>
      </c>
      <c r="E324" s="6">
        <v>2600</v>
      </c>
      <c r="F324" s="18">
        <v>41803.890630000002</v>
      </c>
      <c r="G324" s="18">
        <v>0</v>
      </c>
      <c r="H324" s="18">
        <v>0</v>
      </c>
      <c r="I324" s="18">
        <v>0</v>
      </c>
      <c r="J324" s="18">
        <v>41819.360000000001</v>
      </c>
      <c r="K324" s="18">
        <v>22509.79248</v>
      </c>
      <c r="L324" s="19">
        <f t="shared" si="16"/>
        <v>106133.04311</v>
      </c>
      <c r="M324" s="8"/>
      <c r="N324" s="266"/>
    </row>
    <row r="325" spans="1:14" s="3" customFormat="1" ht="12.2" customHeight="1" x14ac:dyDescent="0.15">
      <c r="A325" s="1" t="s">
        <v>448</v>
      </c>
      <c r="B325" s="2" t="s">
        <v>359</v>
      </c>
      <c r="C325" s="2" t="s">
        <v>300</v>
      </c>
      <c r="D325" s="2" t="s">
        <v>431</v>
      </c>
      <c r="E325" s="6">
        <v>2700</v>
      </c>
      <c r="F325" s="18">
        <v>0</v>
      </c>
      <c r="G325" s="18">
        <v>0</v>
      </c>
      <c r="H325" s="18">
        <v>13884.642603300001</v>
      </c>
      <c r="I325" s="18">
        <v>0</v>
      </c>
      <c r="J325" s="18">
        <v>0</v>
      </c>
      <c r="K325" s="18">
        <v>0</v>
      </c>
      <c r="L325" s="19">
        <f t="shared" si="16"/>
        <v>13884.642603300001</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1019264.6694256</v>
      </c>
      <c r="G328" s="42">
        <f t="shared" si="17"/>
        <v>376248.86783919996</v>
      </c>
      <c r="H328" s="42">
        <f t="shared" si="17"/>
        <v>446707.81103659997</v>
      </c>
      <c r="I328" s="42">
        <f t="shared" si="17"/>
        <v>135380.88704450001</v>
      </c>
      <c r="J328" s="42">
        <f t="shared" si="17"/>
        <v>290353.79616209998</v>
      </c>
      <c r="K328" s="42">
        <f t="shared" si="17"/>
        <v>280645.39997750003</v>
      </c>
      <c r="L328" s="41">
        <f t="shared" si="17"/>
        <v>2548601.4314855002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46150</v>
      </c>
      <c r="G332" s="18">
        <v>3682.49</v>
      </c>
      <c r="H332" s="18">
        <v>21377.4</v>
      </c>
      <c r="I332" s="18">
        <v>1227.49</v>
      </c>
      <c r="J332" s="18">
        <v>234.95</v>
      </c>
      <c r="K332" s="18">
        <v>0</v>
      </c>
      <c r="L332" s="19">
        <f t="shared" ref="L332:L337" si="18">SUM(F332:K332)</f>
        <v>72672.33</v>
      </c>
      <c r="M332" s="8"/>
      <c r="N332" s="266"/>
    </row>
    <row r="333" spans="1:14" s="3" customFormat="1" ht="12.2" customHeight="1" x14ac:dyDescent="0.15">
      <c r="A333" s="1" t="s">
        <v>353</v>
      </c>
      <c r="B333" s="6">
        <v>14</v>
      </c>
      <c r="C333" s="2" t="s">
        <v>309</v>
      </c>
      <c r="D333" s="2" t="s">
        <v>431</v>
      </c>
      <c r="E333" s="6">
        <v>1600</v>
      </c>
      <c r="F333" s="18">
        <v>171034.26</v>
      </c>
      <c r="G333" s="18">
        <v>26925.839999999997</v>
      </c>
      <c r="H333" s="18">
        <v>64259.119999999995</v>
      </c>
      <c r="I333" s="18">
        <v>15526.010000000002</v>
      </c>
      <c r="J333" s="18">
        <v>4494.8099999999995</v>
      </c>
      <c r="K333" s="18">
        <v>0</v>
      </c>
      <c r="L333" s="19">
        <f t="shared" si="18"/>
        <v>282240.03999999998</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217184.26</v>
      </c>
      <c r="G337" s="41">
        <f t="shared" si="19"/>
        <v>30608.329999999994</v>
      </c>
      <c r="H337" s="41">
        <f t="shared" si="19"/>
        <v>85636.51999999999</v>
      </c>
      <c r="I337" s="41">
        <f t="shared" si="19"/>
        <v>16753.500000000004</v>
      </c>
      <c r="J337" s="41">
        <f t="shared" si="19"/>
        <v>4729.7599999999993</v>
      </c>
      <c r="K337" s="41">
        <f t="shared" si="19"/>
        <v>0</v>
      </c>
      <c r="L337" s="41">
        <f t="shared" si="18"/>
        <v>354912.37</v>
      </c>
      <c r="M337" s="8"/>
      <c r="N337" s="266"/>
    </row>
    <row r="338" spans="1:43" s="3" customFormat="1" ht="12.2" customHeight="1" thickTop="1" x14ac:dyDescent="0.15">
      <c r="A338" s="38" t="s">
        <v>468</v>
      </c>
      <c r="B338" s="40">
        <v>14</v>
      </c>
      <c r="C338" s="40">
        <v>7</v>
      </c>
      <c r="D338" s="39" t="s">
        <v>431</v>
      </c>
      <c r="E338" s="40"/>
      <c r="F338" s="41">
        <f t="shared" ref="F338:L338" si="20">F290+F309+F328+F337</f>
        <v>5069937.8499999996</v>
      </c>
      <c r="G338" s="41">
        <f t="shared" si="20"/>
        <v>1598871.2600000002</v>
      </c>
      <c r="H338" s="41">
        <f t="shared" si="20"/>
        <v>1293262.4100000001</v>
      </c>
      <c r="I338" s="41">
        <f t="shared" si="20"/>
        <v>695002.72000000009</v>
      </c>
      <c r="J338" s="41">
        <f t="shared" si="20"/>
        <v>995980.90999999992</v>
      </c>
      <c r="K338" s="41">
        <f t="shared" si="20"/>
        <v>461221.59</v>
      </c>
      <c r="L338" s="41">
        <f t="shared" si="20"/>
        <v>10114276.74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5069937.8499999996</v>
      </c>
      <c r="G352" s="41">
        <f>G338</f>
        <v>1598871.2600000002</v>
      </c>
      <c r="H352" s="41">
        <f>H338</f>
        <v>1293262.4100000001</v>
      </c>
      <c r="I352" s="41">
        <f>I338</f>
        <v>695002.72000000009</v>
      </c>
      <c r="J352" s="41">
        <f>J338</f>
        <v>995980.90999999992</v>
      </c>
      <c r="K352" s="47">
        <f>K338+K351</f>
        <v>461221.59</v>
      </c>
      <c r="L352" s="41">
        <f>L338+L351</f>
        <v>10114276.74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738304.60145000007</v>
      </c>
      <c r="G358" s="18">
        <v>274722.02794000006</v>
      </c>
      <c r="H358" s="18">
        <v>39774.547559999999</v>
      </c>
      <c r="I358" s="18">
        <v>980950.61507000041</v>
      </c>
      <c r="J358" s="18">
        <v>5268.2099599999992</v>
      </c>
      <c r="K358" s="18">
        <v>0</v>
      </c>
      <c r="L358" s="13">
        <f>SUM(F358:K358)</f>
        <v>2039020.0019800004</v>
      </c>
      <c r="N358" s="264"/>
      <c r="R358" s="3"/>
      <c r="S358" s="3"/>
      <c r="T358" s="3"/>
      <c r="U358" s="3"/>
      <c r="V358" s="3"/>
    </row>
    <row r="359" spans="1:22" s="3" customFormat="1" ht="12.2" customHeight="1" x14ac:dyDescent="0.15">
      <c r="A359" s="1" t="s">
        <v>542</v>
      </c>
      <c r="B359" s="2" t="s">
        <v>366</v>
      </c>
      <c r="C359" s="6">
        <v>2</v>
      </c>
      <c r="D359" s="2" t="s">
        <v>431</v>
      </c>
      <c r="E359" s="6"/>
      <c r="F359" s="18">
        <v>485235.45159999997</v>
      </c>
      <c r="G359" s="18">
        <v>141496.91152000002</v>
      </c>
      <c r="H359" s="18">
        <v>18859.082480000001</v>
      </c>
      <c r="I359" s="18">
        <v>471314.07455999998</v>
      </c>
      <c r="J359" s="18">
        <v>2000.60168</v>
      </c>
      <c r="K359" s="18">
        <v>0</v>
      </c>
      <c r="L359" s="19">
        <f>SUM(F359:K359)</f>
        <v>1118906.1218399999</v>
      </c>
      <c r="M359" s="8"/>
      <c r="N359" s="266"/>
    </row>
    <row r="360" spans="1:22" s="3" customFormat="1" ht="12.2" customHeight="1" x14ac:dyDescent="0.15">
      <c r="A360" s="3" t="s">
        <v>543</v>
      </c>
      <c r="B360" s="2" t="s">
        <v>366</v>
      </c>
      <c r="C360" s="6">
        <v>3</v>
      </c>
      <c r="D360" s="2" t="s">
        <v>431</v>
      </c>
      <c r="E360" s="6"/>
      <c r="F360" s="18">
        <v>621655.99694999994</v>
      </c>
      <c r="G360" s="18">
        <v>255830.60054000001</v>
      </c>
      <c r="H360" s="18">
        <v>26629.039960000002</v>
      </c>
      <c r="I360" s="18">
        <v>706383.84036999999</v>
      </c>
      <c r="J360" s="18">
        <v>23426.108359999995</v>
      </c>
      <c r="K360" s="18">
        <v>0</v>
      </c>
      <c r="L360" s="19">
        <f>SUM(F360:K360)</f>
        <v>1633925.5861799999</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1845196.0499999998</v>
      </c>
      <c r="G362" s="47">
        <f t="shared" si="22"/>
        <v>672049.54</v>
      </c>
      <c r="H362" s="47">
        <f t="shared" si="22"/>
        <v>85262.670000000013</v>
      </c>
      <c r="I362" s="47">
        <f t="shared" si="22"/>
        <v>2158648.5300000003</v>
      </c>
      <c r="J362" s="47">
        <f t="shared" si="22"/>
        <v>30694.919999999995</v>
      </c>
      <c r="K362" s="47">
        <f t="shared" si="22"/>
        <v>0</v>
      </c>
      <c r="L362" s="47">
        <f t="shared" si="22"/>
        <v>4791851.71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874188.16539000033</v>
      </c>
      <c r="G367" s="18">
        <v>418593.96111999999</v>
      </c>
      <c r="H367" s="18">
        <v>638801.56348999997</v>
      </c>
      <c r="I367" s="56">
        <f>SUM(F367:H367)</f>
        <v>1931583.6900000004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106762.44967999999</v>
      </c>
      <c r="G368" s="63">
        <v>52720.113440000001</v>
      </c>
      <c r="H368" s="63">
        <v>67582.276880000005</v>
      </c>
      <c r="I368" s="56">
        <f>SUM(F368:H368)</f>
        <v>227064.84000000003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980950.61507000029</v>
      </c>
      <c r="G369" s="47">
        <f>SUM(G367:G368)</f>
        <v>471314.07455999998</v>
      </c>
      <c r="H369" s="47">
        <f>SUM(H367:H368)</f>
        <v>706383.84036999999</v>
      </c>
      <c r="I369" s="47">
        <f>SUM(I367:I368)</f>
        <v>2158648.5300000003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v>1197187.3600000001</v>
      </c>
      <c r="L379" s="13">
        <f t="shared" si="23"/>
        <v>1197187.3600000001</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46975.57</v>
      </c>
      <c r="L381" s="13">
        <f t="shared" si="23"/>
        <v>46975.57</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1244162.9300000002</v>
      </c>
      <c r="L382" s="47">
        <f t="shared" si="24"/>
        <v>1244162.9300000002</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46975.57</v>
      </c>
      <c r="H392" s="18">
        <v>21564.87</v>
      </c>
      <c r="I392" s="18"/>
      <c r="J392" s="24" t="s">
        <v>288</v>
      </c>
      <c r="K392" s="24" t="s">
        <v>288</v>
      </c>
      <c r="L392" s="56">
        <f t="shared" si="25"/>
        <v>68540.44</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46975.57</v>
      </c>
      <c r="H393" s="139">
        <f>SUM(H387:H392)</f>
        <v>21564.87</v>
      </c>
      <c r="I393" s="65">
        <f>SUM(I387:I392)</f>
        <v>0</v>
      </c>
      <c r="J393" s="45" t="s">
        <v>288</v>
      </c>
      <c r="K393" s="45" t="s">
        <v>288</v>
      </c>
      <c r="L393" s="47">
        <f>SUM(L387:L392)</f>
        <v>68540.44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250250</v>
      </c>
      <c r="H400" s="18">
        <v>26594.77</v>
      </c>
      <c r="I400" s="18">
        <v>481417.07</v>
      </c>
      <c r="J400" s="24" t="s">
        <v>288</v>
      </c>
      <c r="K400" s="24" t="s">
        <v>288</v>
      </c>
      <c r="L400" s="56">
        <f t="shared" si="26"/>
        <v>758261.84000000008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250250</v>
      </c>
      <c r="H401" s="47">
        <f>SUM(H395:H400)</f>
        <v>26594.77</v>
      </c>
      <c r="I401" s="47">
        <f>SUM(I395:I400)</f>
        <v>481417.07</v>
      </c>
      <c r="J401" s="45" t="s">
        <v>288</v>
      </c>
      <c r="K401" s="45" t="s">
        <v>288</v>
      </c>
      <c r="L401" s="47">
        <f>SUM(L395:L400)</f>
        <v>758261.84000000008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v>512683.17</v>
      </c>
      <c r="I403" s="18">
        <v>50792.11</v>
      </c>
      <c r="J403" s="24" t="s">
        <v>288</v>
      </c>
      <c r="K403" s="24" t="s">
        <v>288</v>
      </c>
      <c r="L403" s="56">
        <f>SUM(F403:K403)</f>
        <v>563475.28</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512683.17</v>
      </c>
      <c r="I407" s="47">
        <f>SUM(I403:I406)</f>
        <v>50792.11</v>
      </c>
      <c r="J407" s="49" t="s">
        <v>288</v>
      </c>
      <c r="K407" s="49" t="s">
        <v>288</v>
      </c>
      <c r="L407" s="47">
        <f>SUM(L403:L406)</f>
        <v>563475.28</v>
      </c>
      <c r="M407" s="8"/>
      <c r="N407" s="266"/>
    </row>
    <row r="408" spans="1:21" s="3" customFormat="1" ht="12.2" customHeight="1" thickTop="1" x14ac:dyDescent="0.15">
      <c r="A408" s="78" t="s">
        <v>421</v>
      </c>
      <c r="B408" s="2" t="s">
        <v>381</v>
      </c>
      <c r="C408" s="6">
        <v>20</v>
      </c>
      <c r="D408" s="6"/>
      <c r="E408" s="40"/>
      <c r="F408" s="47">
        <f>F393+F401+F407</f>
        <v>0</v>
      </c>
      <c r="G408" s="47">
        <f>G393+G401+G407</f>
        <v>297225.57</v>
      </c>
      <c r="H408" s="47">
        <f>H393+H401+H407</f>
        <v>560842.80999999994</v>
      </c>
      <c r="I408" s="47">
        <f>I393+I401+I407</f>
        <v>532209.18000000005</v>
      </c>
      <c r="J408" s="24" t="s">
        <v>288</v>
      </c>
      <c r="K408" s="24" t="s">
        <v>288</v>
      </c>
      <c r="L408" s="47">
        <f>L393+L401+L407</f>
        <v>1390277.56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v>5144.55</v>
      </c>
      <c r="K418" s="18"/>
      <c r="L418" s="56">
        <f t="shared" si="27"/>
        <v>5144.55</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5144.55</v>
      </c>
      <c r="K419" s="139">
        <f t="shared" si="28"/>
        <v>0</v>
      </c>
      <c r="L419" s="47">
        <f t="shared" si="28"/>
        <v>5144.55</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v>1550</v>
      </c>
      <c r="G426" s="18"/>
      <c r="H426" s="18">
        <v>12583.69</v>
      </c>
      <c r="I426" s="18">
        <v>47881.2</v>
      </c>
      <c r="J426" s="18">
        <v>347393.23</v>
      </c>
      <c r="K426" s="18">
        <v>100000</v>
      </c>
      <c r="L426" s="56">
        <f t="shared" si="29"/>
        <v>509408.12</v>
      </c>
      <c r="M426" s="8"/>
      <c r="N426" s="266"/>
    </row>
    <row r="427" spans="1:21" s="3" customFormat="1" ht="12.2" customHeight="1" thickTop="1" x14ac:dyDescent="0.15">
      <c r="A427" s="160" t="s">
        <v>470</v>
      </c>
      <c r="B427" s="6">
        <v>17</v>
      </c>
      <c r="C427" s="6">
        <v>14</v>
      </c>
      <c r="D427" s="2" t="s">
        <v>432</v>
      </c>
      <c r="E427" s="40">
        <v>5252</v>
      </c>
      <c r="F427" s="47">
        <f t="shared" ref="F427:L427" si="30">SUM(F421:F426)</f>
        <v>1550</v>
      </c>
      <c r="G427" s="47">
        <f t="shared" si="30"/>
        <v>0</v>
      </c>
      <c r="H427" s="47">
        <f t="shared" si="30"/>
        <v>12583.69</v>
      </c>
      <c r="I427" s="47">
        <f t="shared" si="30"/>
        <v>47881.2</v>
      </c>
      <c r="J427" s="47">
        <f t="shared" si="30"/>
        <v>347393.23</v>
      </c>
      <c r="K427" s="47">
        <f t="shared" si="30"/>
        <v>100000</v>
      </c>
      <c r="L427" s="47">
        <f t="shared" si="30"/>
        <v>509408.12</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v>199227.76</v>
      </c>
      <c r="I429" s="18"/>
      <c r="J429" s="18"/>
      <c r="K429" s="18"/>
      <c r="L429" s="56">
        <f>SUM(F429:K429)</f>
        <v>199227.76</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199227.76</v>
      </c>
      <c r="I433" s="47">
        <f t="shared" si="31"/>
        <v>0</v>
      </c>
      <c r="J433" s="47">
        <f t="shared" si="31"/>
        <v>0</v>
      </c>
      <c r="K433" s="47">
        <f t="shared" si="31"/>
        <v>0</v>
      </c>
      <c r="L433" s="47">
        <f t="shared" si="31"/>
        <v>199227.76</v>
      </c>
      <c r="M433" s="8"/>
      <c r="N433" s="266"/>
    </row>
    <row r="434" spans="1:14" s="3" customFormat="1" ht="12.2" customHeight="1" thickTop="1" x14ac:dyDescent="0.15">
      <c r="A434" s="78" t="s">
        <v>422</v>
      </c>
      <c r="B434" s="6">
        <v>17</v>
      </c>
      <c r="C434" s="6">
        <v>20</v>
      </c>
      <c r="D434" s="2" t="s">
        <v>432</v>
      </c>
      <c r="E434" s="40"/>
      <c r="F434" s="47">
        <f t="shared" ref="F434:L434" si="32">F419+F427+F433</f>
        <v>1550</v>
      </c>
      <c r="G434" s="47">
        <f t="shared" si="32"/>
        <v>0</v>
      </c>
      <c r="H434" s="47">
        <f t="shared" si="32"/>
        <v>211811.45</v>
      </c>
      <c r="I434" s="47">
        <f t="shared" si="32"/>
        <v>47881.2</v>
      </c>
      <c r="J434" s="47">
        <f t="shared" si="32"/>
        <v>352537.77999999997</v>
      </c>
      <c r="K434" s="47">
        <f t="shared" si="32"/>
        <v>100000</v>
      </c>
      <c r="L434" s="47">
        <f t="shared" si="32"/>
        <v>713780.42999999993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1015220.63</v>
      </c>
      <c r="G439" s="18">
        <v>1231689.45</v>
      </c>
      <c r="H439" s="18">
        <v>86087.38</v>
      </c>
      <c r="I439" s="56">
        <f t="shared" ref="I439:I445" si="33">SUM(F439:H439)</f>
        <v>2332997.46</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v>6530384.5300000003</v>
      </c>
      <c r="I440" s="56">
        <f t="shared" si="33"/>
        <v>6530384.5300000003</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1015220.63</v>
      </c>
      <c r="G446" s="13">
        <f>SUM(G439:G445)</f>
        <v>1231689.45</v>
      </c>
      <c r="H446" s="13">
        <f>SUM(H439:H445)</f>
        <v>6616471.9100000001</v>
      </c>
      <c r="I446" s="13">
        <f>SUM(I439:I445)</f>
        <v>8863381.9900000002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1137.5</v>
      </c>
      <c r="G448" s="18">
        <v>14378.83</v>
      </c>
      <c r="H448" s="18">
        <v>142779.25</v>
      </c>
      <c r="I448" s="56">
        <f>SUM(F448:H448)</f>
        <v>158295.57999999999</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1137.5</v>
      </c>
      <c r="G452" s="72">
        <f>SUM(G448:G451)</f>
        <v>14378.83</v>
      </c>
      <c r="H452" s="72">
        <f>SUM(H448:H451)</f>
        <v>142779.25</v>
      </c>
      <c r="I452" s="72">
        <f>SUM(I448:I451)</f>
        <v>158295.57999999999</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v>3832</v>
      </c>
      <c r="H454" s="18"/>
      <c r="I454" s="56">
        <f t="shared" ref="I454:I459" si="34">SUM(F454:H454)</f>
        <v>3832</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v>6089844.2300000004</v>
      </c>
      <c r="I457" s="56">
        <f t="shared" si="34"/>
        <v>6089844.2300000004</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v>383848.43</v>
      </c>
      <c r="I458" s="56">
        <f t="shared" si="34"/>
        <v>383848.43</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1014083.13</v>
      </c>
      <c r="G459" s="18">
        <v>1213478.6200000001</v>
      </c>
      <c r="H459" s="18"/>
      <c r="I459" s="56">
        <f t="shared" si="34"/>
        <v>2227561.75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1014083.13</v>
      </c>
      <c r="G460" s="83">
        <f>SUM(G454:G459)</f>
        <v>1217310.6200000001</v>
      </c>
      <c r="H460" s="83">
        <f>SUM(H454:H459)</f>
        <v>6473692.6600000001</v>
      </c>
      <c r="I460" s="83">
        <f>SUM(I454:I459)</f>
        <v>8705086.4100000001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1015220.63</v>
      </c>
      <c r="G461" s="42">
        <f>G452+G460</f>
        <v>1231689.4500000002</v>
      </c>
      <c r="H461" s="42">
        <f>H452+H460</f>
        <v>6616471.9100000001</v>
      </c>
      <c r="I461" s="42">
        <f>I452+I460</f>
        <v>8863381.9900000002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0</v>
      </c>
      <c r="G465" s="18">
        <v>646082.46</v>
      </c>
      <c r="H465" s="18">
        <v>1171706.1599999999</v>
      </c>
      <c r="I465" s="18">
        <v>-76925.39</v>
      </c>
      <c r="J465" s="18">
        <v>8028589.2800000003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159513115</v>
      </c>
      <c r="G468" s="18">
        <v>4961677.54</v>
      </c>
      <c r="H468" s="18">
        <v>10357341.51</v>
      </c>
      <c r="I468" s="18">
        <v>1318740.96</v>
      </c>
      <c r="J468" s="18">
        <v>1390277.56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159513115</v>
      </c>
      <c r="G470" s="53">
        <f>SUM(G468:G469)</f>
        <v>4961677.54</v>
      </c>
      <c r="H470" s="53">
        <f>SUM(H468:H469)</f>
        <v>10357341.51</v>
      </c>
      <c r="I470" s="53">
        <f>SUM(I468:I469)</f>
        <v>1318740.96</v>
      </c>
      <c r="J470" s="53">
        <f>SUM(J468:J469)</f>
        <v>1390277.56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159513115</v>
      </c>
      <c r="G472" s="18">
        <v>4791851.71</v>
      </c>
      <c r="H472" s="18">
        <v>10114276.74</v>
      </c>
      <c r="I472" s="18">
        <v>1244162.9300000002</v>
      </c>
      <c r="J472" s="18">
        <v>713780.43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159513115</v>
      </c>
      <c r="G474" s="53">
        <f>SUM(G472:G473)</f>
        <v>4791851.71</v>
      </c>
      <c r="H474" s="53">
        <f>SUM(H472:H473)</f>
        <v>10114276.74</v>
      </c>
      <c r="I474" s="53">
        <f>SUM(I472:I473)</f>
        <v>1244162.9300000002</v>
      </c>
      <c r="J474" s="53">
        <f>SUM(J472:J473)</f>
        <v>713780.43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0</v>
      </c>
      <c r="G476" s="53">
        <f>(G465+G470)- G474</f>
        <v>815908.29</v>
      </c>
      <c r="H476" s="53">
        <f>(H465+H470)- H474</f>
        <v>1414770.9299999997</v>
      </c>
      <c r="I476" s="53">
        <f>(I465+I470)- I474</f>
        <v>-2347.3600000001024</v>
      </c>
      <c r="J476" s="53">
        <f>(J465+J470)- J474</f>
        <v>8705086.4100000001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55210500</v>
      </c>
      <c r="G495" s="18"/>
      <c r="H495" s="18"/>
      <c r="I495" s="18"/>
      <c r="J495" s="18"/>
      <c r="K495" s="53">
        <f>SUM(F495:J495)</f>
        <v>55210500</v>
      </c>
      <c r="L495" s="24" t="s">
        <v>288</v>
      </c>
      <c r="N495" s="265"/>
    </row>
    <row r="496" spans="1:14" s="52" customFormat="1" ht="12.2" customHeight="1" x14ac:dyDescent="0.2">
      <c r="A496" s="22" t="s">
        <v>620</v>
      </c>
      <c r="B496" s="75">
        <v>20</v>
      </c>
      <c r="C496" s="115">
        <v>7</v>
      </c>
      <c r="D496" s="2" t="s">
        <v>432</v>
      </c>
      <c r="E496" s="115"/>
      <c r="F496" s="18">
        <v>1132000</v>
      </c>
      <c r="G496" s="18"/>
      <c r="H496" s="18"/>
      <c r="I496" s="18"/>
      <c r="J496" s="18"/>
      <c r="K496" s="53">
        <f t="shared" ref="K496:K503" si="35">SUM(F496:J496)</f>
        <v>1132000</v>
      </c>
      <c r="L496" s="24" t="s">
        <v>288</v>
      </c>
      <c r="N496" s="265"/>
    </row>
    <row r="497" spans="1:14" s="52" customFormat="1" ht="12.2" customHeight="1" x14ac:dyDescent="0.2">
      <c r="A497" s="22" t="s">
        <v>621</v>
      </c>
      <c r="B497" s="75">
        <v>20</v>
      </c>
      <c r="C497" s="115">
        <v>8</v>
      </c>
      <c r="D497" s="2" t="s">
        <v>432</v>
      </c>
      <c r="E497" s="115"/>
      <c r="F497" s="18">
        <v>7973500</v>
      </c>
      <c r="G497" s="18"/>
      <c r="H497" s="18"/>
      <c r="I497" s="18"/>
      <c r="J497" s="18"/>
      <c r="K497" s="53">
        <f t="shared" si="35"/>
        <v>7973500</v>
      </c>
      <c r="L497" s="24" t="s">
        <v>288</v>
      </c>
      <c r="N497" s="265"/>
    </row>
    <row r="498" spans="1:14" s="52" customFormat="1" ht="12.2" customHeight="1" x14ac:dyDescent="0.2">
      <c r="A498" s="200" t="s">
        <v>622</v>
      </c>
      <c r="B498" s="201">
        <v>20</v>
      </c>
      <c r="C498" s="202">
        <v>9</v>
      </c>
      <c r="D498" s="203" t="s">
        <v>432</v>
      </c>
      <c r="E498" s="202"/>
      <c r="F498" s="204">
        <v>48369000</v>
      </c>
      <c r="G498" s="204"/>
      <c r="H498" s="204"/>
      <c r="I498" s="204"/>
      <c r="J498" s="204"/>
      <c r="K498" s="205">
        <f t="shared" si="35"/>
        <v>48369000</v>
      </c>
      <c r="L498" s="206" t="s">
        <v>288</v>
      </c>
      <c r="N498" s="265"/>
    </row>
    <row r="499" spans="1:14" s="52" customFormat="1" ht="12.2" customHeight="1" thickBot="1" x14ac:dyDescent="0.25">
      <c r="A499" s="22" t="s">
        <v>623</v>
      </c>
      <c r="B499" s="75">
        <v>20</v>
      </c>
      <c r="C499" s="115">
        <v>10</v>
      </c>
      <c r="D499" s="2" t="s">
        <v>432</v>
      </c>
      <c r="E499" s="115"/>
      <c r="F499" s="18">
        <v>9735170</v>
      </c>
      <c r="G499" s="18"/>
      <c r="H499" s="18"/>
      <c r="I499" s="18"/>
      <c r="J499" s="18"/>
      <c r="K499" s="53">
        <f t="shared" si="35"/>
        <v>9735170</v>
      </c>
      <c r="L499" s="24" t="s">
        <v>288</v>
      </c>
      <c r="N499" s="265"/>
    </row>
    <row r="500" spans="1:14" s="52" customFormat="1" ht="12.2" customHeight="1" thickTop="1" x14ac:dyDescent="0.2">
      <c r="A500" s="139" t="s">
        <v>624</v>
      </c>
      <c r="B500" s="44">
        <v>20</v>
      </c>
      <c r="C500" s="195">
        <v>11</v>
      </c>
      <c r="D500" s="39" t="s">
        <v>432</v>
      </c>
      <c r="E500" s="195"/>
      <c r="F500" s="42">
        <f>SUM(F498:F499)</f>
        <v>58104170</v>
      </c>
      <c r="G500" s="42">
        <f>SUM(G498:G499)</f>
        <v>0</v>
      </c>
      <c r="H500" s="42">
        <f>SUM(H498:H499)</f>
        <v>0</v>
      </c>
      <c r="I500" s="42">
        <f>SUM(I498:I499)</f>
        <v>0</v>
      </c>
      <c r="J500" s="42">
        <f>SUM(J498:J499)</f>
        <v>0</v>
      </c>
      <c r="K500" s="42">
        <f t="shared" si="35"/>
        <v>58104170</v>
      </c>
      <c r="L500" s="45" t="s">
        <v>288</v>
      </c>
      <c r="N500" s="265"/>
    </row>
    <row r="501" spans="1:14" s="52" customFormat="1" ht="12.2" customHeight="1" x14ac:dyDescent="0.2">
      <c r="A501" s="200" t="s">
        <v>651</v>
      </c>
      <c r="B501" s="201">
        <v>20</v>
      </c>
      <c r="C501" s="202">
        <v>12</v>
      </c>
      <c r="D501" s="203" t="s">
        <v>432</v>
      </c>
      <c r="E501" s="202"/>
      <c r="F501" s="204">
        <v>8038000</v>
      </c>
      <c r="G501" s="204"/>
      <c r="H501" s="204"/>
      <c r="I501" s="204"/>
      <c r="J501" s="204"/>
      <c r="K501" s="205">
        <f t="shared" si="35"/>
        <v>8038000</v>
      </c>
      <c r="L501" s="206" t="s">
        <v>288</v>
      </c>
      <c r="N501" s="265"/>
    </row>
    <row r="502" spans="1:14" s="52" customFormat="1" ht="12.2" customHeight="1" thickBot="1" x14ac:dyDescent="0.25">
      <c r="A502" s="22" t="s">
        <v>625</v>
      </c>
      <c r="B502" s="75">
        <v>20</v>
      </c>
      <c r="C502" s="115">
        <v>13</v>
      </c>
      <c r="D502" s="2" t="s">
        <v>432</v>
      </c>
      <c r="E502" s="115"/>
      <c r="F502" s="18">
        <v>1852316</v>
      </c>
      <c r="G502" s="18"/>
      <c r="H502" s="18"/>
      <c r="I502" s="18"/>
      <c r="J502" s="18"/>
      <c r="K502" s="53">
        <f t="shared" si="35"/>
        <v>1852316</v>
      </c>
      <c r="L502" s="24" t="s">
        <v>288</v>
      </c>
      <c r="N502" s="265"/>
    </row>
    <row r="503" spans="1:14" s="52" customFormat="1" ht="12.2" customHeight="1" thickTop="1" x14ac:dyDescent="0.2">
      <c r="A503" s="139" t="s">
        <v>626</v>
      </c>
      <c r="B503" s="44">
        <v>20</v>
      </c>
      <c r="C503" s="195">
        <v>14</v>
      </c>
      <c r="D503" s="39" t="s">
        <v>432</v>
      </c>
      <c r="E503" s="195"/>
      <c r="F503" s="42">
        <f>SUM(F501:F502)</f>
        <v>9890316</v>
      </c>
      <c r="G503" s="42">
        <f>SUM(G501:G502)</f>
        <v>0</v>
      </c>
      <c r="H503" s="42">
        <f>SUM(H501:H502)</f>
        <v>0</v>
      </c>
      <c r="I503" s="42">
        <f>SUM(I501:I502)</f>
        <v>0</v>
      </c>
      <c r="J503" s="42">
        <f>SUM(J501:J502)</f>
        <v>0</v>
      </c>
      <c r="K503" s="42">
        <f t="shared" si="35"/>
        <v>9890316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8940927.7148069981</v>
      </c>
      <c r="G521" s="18">
        <v>3224208.4912158004</v>
      </c>
      <c r="H521" s="18">
        <v>657382.992488157</v>
      </c>
      <c r="I521" s="18">
        <v>61002.97673799999</v>
      </c>
      <c r="J521" s="18">
        <v>33041.845088100003</v>
      </c>
      <c r="K521" s="18">
        <v>0</v>
      </c>
      <c r="L521" s="88">
        <f>SUM(F521:K521)</f>
        <v>12916564.020337056</v>
      </c>
      <c r="N521" s="265"/>
    </row>
    <row r="522" spans="1:14" s="52" customFormat="1" ht="12.2" customHeight="1" x14ac:dyDescent="0.2">
      <c r="A522" s="22" t="s">
        <v>634</v>
      </c>
      <c r="B522" s="105">
        <v>21</v>
      </c>
      <c r="C522" s="115">
        <v>2</v>
      </c>
      <c r="D522" s="2" t="s">
        <v>432</v>
      </c>
      <c r="E522" s="115"/>
      <c r="F522" s="18">
        <v>3173914.6188960001</v>
      </c>
      <c r="G522" s="18">
        <v>1225098.8094623999</v>
      </c>
      <c r="H522" s="18">
        <v>783609.79364400252</v>
      </c>
      <c r="I522" s="18">
        <v>25467.314863999996</v>
      </c>
      <c r="J522" s="18">
        <v>12080.7101568</v>
      </c>
      <c r="K522" s="18">
        <v>0</v>
      </c>
      <c r="L522" s="88">
        <f>SUM(F522:K522)</f>
        <v>5220171.2470232034</v>
      </c>
      <c r="N522" s="265"/>
    </row>
    <row r="523" spans="1:14" s="52" customFormat="1" ht="12.2" customHeight="1" thickBot="1" x14ac:dyDescent="0.25">
      <c r="A523" s="22" t="s">
        <v>635</v>
      </c>
      <c r="B523" s="105">
        <v>21</v>
      </c>
      <c r="C523" s="115">
        <v>3</v>
      </c>
      <c r="D523" s="2" t="s">
        <v>432</v>
      </c>
      <c r="E523" s="115"/>
      <c r="F523" s="18">
        <v>3197721.7762970002</v>
      </c>
      <c r="G523" s="18">
        <v>1295614.2693218</v>
      </c>
      <c r="H523" s="18">
        <v>4792874.4538678406</v>
      </c>
      <c r="I523" s="18">
        <v>22910.688397999998</v>
      </c>
      <c r="J523" s="18">
        <v>12477.3147551</v>
      </c>
      <c r="K523" s="18">
        <v>0</v>
      </c>
      <c r="L523" s="88">
        <f>SUM(F523:K523)</f>
        <v>9321598.5026397407</v>
      </c>
      <c r="N523" s="265"/>
    </row>
    <row r="524" spans="1:14" s="52" customFormat="1" ht="12.2" customHeight="1" thickTop="1" x14ac:dyDescent="0.2">
      <c r="A524" s="139" t="s">
        <v>63</v>
      </c>
      <c r="B524" s="107">
        <v>21</v>
      </c>
      <c r="C524" s="195">
        <v>4</v>
      </c>
      <c r="D524" s="196" t="s">
        <v>432</v>
      </c>
      <c r="E524" s="195"/>
      <c r="F524" s="108">
        <f>SUM(F521:F523)</f>
        <v>15312564.109999999</v>
      </c>
      <c r="G524" s="108">
        <f t="shared" ref="G524:L524" si="36">SUM(G521:G523)</f>
        <v>5744921.5700000003</v>
      </c>
      <c r="H524" s="108">
        <f t="shared" si="36"/>
        <v>6233867.2400000002</v>
      </c>
      <c r="I524" s="108">
        <f t="shared" si="36"/>
        <v>109380.97999999998</v>
      </c>
      <c r="J524" s="108">
        <f t="shared" si="36"/>
        <v>57599.87</v>
      </c>
      <c r="K524" s="108">
        <f t="shared" si="36"/>
        <v>0</v>
      </c>
      <c r="L524" s="89">
        <f t="shared" si="36"/>
        <v>27458333.77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1938960.0908520001</v>
      </c>
      <c r="G526" s="18">
        <v>486052.59220100002</v>
      </c>
      <c r="H526" s="18">
        <v>598217.89967699989</v>
      </c>
      <c r="I526" s="18">
        <v>12528.517732</v>
      </c>
      <c r="J526" s="18">
        <v>0</v>
      </c>
      <c r="K526" s="18">
        <v>0</v>
      </c>
      <c r="L526" s="88">
        <f>SUM(F526:K526)</f>
        <v>3035759.1004619999</v>
      </c>
      <c r="M526" s="8"/>
      <c r="N526" s="266"/>
    </row>
    <row r="527" spans="1:14" s="3" customFormat="1" ht="12.2" customHeight="1" x14ac:dyDescent="0.15">
      <c r="A527" s="22" t="s">
        <v>634</v>
      </c>
      <c r="B527" s="105">
        <v>21</v>
      </c>
      <c r="C527" s="115">
        <v>6</v>
      </c>
      <c r="D527" s="2" t="s">
        <v>432</v>
      </c>
      <c r="E527" s="115"/>
      <c r="F527" s="18">
        <v>830890.25578000012</v>
      </c>
      <c r="G527" s="18">
        <v>190942.91076500001</v>
      </c>
      <c r="H527" s="18">
        <v>273752.681905</v>
      </c>
      <c r="I527" s="18">
        <v>5272.0789800000002</v>
      </c>
      <c r="J527" s="18">
        <v>0</v>
      </c>
      <c r="K527" s="18">
        <v>0</v>
      </c>
      <c r="L527" s="88">
        <f>SUM(F527:K527)</f>
        <v>1300857.9274300002</v>
      </c>
      <c r="M527" s="8"/>
      <c r="N527" s="266"/>
    </row>
    <row r="528" spans="1:14" s="3" customFormat="1" ht="12.2" customHeight="1" thickBot="1" x14ac:dyDescent="0.2">
      <c r="A528" s="22" t="s">
        <v>635</v>
      </c>
      <c r="B528" s="118">
        <v>21</v>
      </c>
      <c r="C528" s="118">
        <v>7</v>
      </c>
      <c r="D528" s="2" t="s">
        <v>432</v>
      </c>
      <c r="E528" s="118"/>
      <c r="F528" s="18">
        <v>958137.22336800001</v>
      </c>
      <c r="G528" s="18">
        <v>220184.92703399999</v>
      </c>
      <c r="H528" s="18">
        <v>315676.62841799995</v>
      </c>
      <c r="I528" s="18">
        <v>6079.4732879999992</v>
      </c>
      <c r="J528" s="18">
        <v>0</v>
      </c>
      <c r="K528" s="18">
        <v>0</v>
      </c>
      <c r="L528" s="88">
        <f>SUM(F528:K528)</f>
        <v>1500078.252108</v>
      </c>
      <c r="M528" s="8"/>
      <c r="N528" s="266"/>
    </row>
    <row r="529" spans="1:14" s="3" customFormat="1" ht="12.2" customHeight="1" thickTop="1" x14ac:dyDescent="0.15">
      <c r="A529" s="139" t="s">
        <v>65</v>
      </c>
      <c r="B529" s="107">
        <v>21</v>
      </c>
      <c r="C529" s="107">
        <v>8</v>
      </c>
      <c r="D529" s="158" t="s">
        <v>432</v>
      </c>
      <c r="E529" s="107"/>
      <c r="F529" s="89">
        <f>SUM(F526:F528)</f>
        <v>3727987.5700000003</v>
      </c>
      <c r="G529" s="89">
        <f t="shared" ref="G529:L529" si="37">SUM(G526:G528)</f>
        <v>897180.42999999993</v>
      </c>
      <c r="H529" s="89">
        <f t="shared" si="37"/>
        <v>1187647.21</v>
      </c>
      <c r="I529" s="89">
        <f t="shared" si="37"/>
        <v>23880.07</v>
      </c>
      <c r="J529" s="89">
        <f t="shared" si="37"/>
        <v>0</v>
      </c>
      <c r="K529" s="89">
        <f t="shared" si="37"/>
        <v>0</v>
      </c>
      <c r="L529" s="89">
        <f t="shared" si="37"/>
        <v>5836695.2800000003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134352.66158699998</v>
      </c>
      <c r="G531" s="18">
        <v>68217.944616000008</v>
      </c>
      <c r="H531" s="18">
        <v>18335.516142000004</v>
      </c>
      <c r="I531" s="18">
        <v>0</v>
      </c>
      <c r="J531" s="18">
        <v>0</v>
      </c>
      <c r="K531" s="18">
        <v>0</v>
      </c>
      <c r="L531" s="88">
        <f>SUM(F531:K531)</f>
        <v>220906.12234500001</v>
      </c>
      <c r="M531" s="8"/>
      <c r="N531" s="266"/>
    </row>
    <row r="532" spans="1:14" s="3" customFormat="1" ht="12.2" customHeight="1" x14ac:dyDescent="0.15">
      <c r="A532" s="22" t="s">
        <v>634</v>
      </c>
      <c r="B532" s="105">
        <v>21</v>
      </c>
      <c r="C532" s="105">
        <v>10</v>
      </c>
      <c r="D532" s="2" t="s">
        <v>432</v>
      </c>
      <c r="E532" s="105"/>
      <c r="F532" s="18">
        <v>61481.613054999994</v>
      </c>
      <c r="G532" s="18">
        <v>31217.463240000001</v>
      </c>
      <c r="H532" s="18">
        <v>8390.5826300000008</v>
      </c>
      <c r="I532" s="18">
        <v>0</v>
      </c>
      <c r="J532" s="18">
        <v>0</v>
      </c>
      <c r="K532" s="18">
        <v>0</v>
      </c>
      <c r="L532" s="88">
        <f>SUM(F532:K532)</f>
        <v>101089.658925</v>
      </c>
      <c r="M532" s="8"/>
      <c r="N532" s="266"/>
    </row>
    <row r="533" spans="1:14" s="3" customFormat="1" ht="12.2" customHeight="1" thickBot="1" x14ac:dyDescent="0.2">
      <c r="A533" s="22" t="s">
        <v>635</v>
      </c>
      <c r="B533" s="105">
        <v>21</v>
      </c>
      <c r="C533" s="105">
        <v>11</v>
      </c>
      <c r="D533" s="2" t="s">
        <v>432</v>
      </c>
      <c r="E533" s="105"/>
      <c r="F533" s="18">
        <v>70897.235357999976</v>
      </c>
      <c r="G533" s="18">
        <v>35998.272143999995</v>
      </c>
      <c r="H533" s="18">
        <v>9675.5612280000005</v>
      </c>
      <c r="I533" s="18">
        <v>0</v>
      </c>
      <c r="J533" s="18">
        <v>0</v>
      </c>
      <c r="K533" s="18">
        <v>0</v>
      </c>
      <c r="L533" s="88">
        <f>SUM(F533:K533)</f>
        <v>116571.06872999997</v>
      </c>
      <c r="M533" s="8"/>
      <c r="N533" s="266"/>
    </row>
    <row r="534" spans="1:14" s="3" customFormat="1" ht="12.2" customHeight="1" thickTop="1" x14ac:dyDescent="0.15">
      <c r="A534" s="139" t="s">
        <v>67</v>
      </c>
      <c r="B534" s="107">
        <v>21</v>
      </c>
      <c r="C534" s="107">
        <v>12</v>
      </c>
      <c r="D534" s="158" t="s">
        <v>432</v>
      </c>
      <c r="E534" s="107"/>
      <c r="F534" s="89">
        <f>SUM(F531:F533)</f>
        <v>266731.50999999995</v>
      </c>
      <c r="G534" s="89">
        <f t="shared" ref="G534:L534" si="38">SUM(G531:G533)</f>
        <v>135433.68</v>
      </c>
      <c r="H534" s="89">
        <f t="shared" si="38"/>
        <v>36401.660000000003</v>
      </c>
      <c r="I534" s="89">
        <f t="shared" si="38"/>
        <v>0</v>
      </c>
      <c r="J534" s="89">
        <f t="shared" si="38"/>
        <v>0</v>
      </c>
      <c r="K534" s="89">
        <f t="shared" si="38"/>
        <v>0</v>
      </c>
      <c r="L534" s="89">
        <f t="shared" si="38"/>
        <v>438566.85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1978236.0937110002</v>
      </c>
      <c r="I541" s="18"/>
      <c r="J541" s="18"/>
      <c r="K541" s="18"/>
      <c r="L541" s="88">
        <f>SUM(F541:K541)</f>
        <v>1978236.0937110002</v>
      </c>
      <c r="M541" s="8"/>
      <c r="N541" s="266"/>
    </row>
    <row r="542" spans="1:14" s="3" customFormat="1" ht="12.2" customHeight="1" x14ac:dyDescent="0.15">
      <c r="A542" s="22" t="s">
        <v>634</v>
      </c>
      <c r="B542" s="105">
        <v>21</v>
      </c>
      <c r="C542" s="105">
        <v>18</v>
      </c>
      <c r="D542" s="2" t="s">
        <v>432</v>
      </c>
      <c r="E542" s="105"/>
      <c r="F542" s="18"/>
      <c r="G542" s="18"/>
      <c r="H542" s="18">
        <v>942389.59988999995</v>
      </c>
      <c r="I542" s="18"/>
      <c r="J542" s="18"/>
      <c r="K542" s="18"/>
      <c r="L542" s="88">
        <f>SUM(F542:K542)</f>
        <v>942389.59988999995</v>
      </c>
      <c r="M542" s="8"/>
      <c r="N542" s="266"/>
    </row>
    <row r="543" spans="1:14" s="3" customFormat="1" ht="12.2" customHeight="1" thickBot="1" x14ac:dyDescent="0.2">
      <c r="A543" s="22" t="s">
        <v>635</v>
      </c>
      <c r="B543" s="105">
        <v>21</v>
      </c>
      <c r="C543" s="105">
        <v>19</v>
      </c>
      <c r="D543" s="2" t="s">
        <v>432</v>
      </c>
      <c r="E543" s="105"/>
      <c r="F543" s="18"/>
      <c r="G543" s="18"/>
      <c r="H543" s="18">
        <v>989313.56336999999</v>
      </c>
      <c r="I543" s="18"/>
      <c r="J543" s="18"/>
      <c r="K543" s="18"/>
      <c r="L543" s="88">
        <f>SUM(F543:K543)</f>
        <v>989313.56336999999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3909939.2569710002</v>
      </c>
      <c r="I544" s="193">
        <f t="shared" si="40"/>
        <v>0</v>
      </c>
      <c r="J544" s="193">
        <f t="shared" si="40"/>
        <v>0</v>
      </c>
      <c r="K544" s="193">
        <f t="shared" si="40"/>
        <v>0</v>
      </c>
      <c r="L544" s="193">
        <f t="shared" si="40"/>
        <v>3909939.2569710002</v>
      </c>
      <c r="M544" s="8"/>
      <c r="N544" s="266"/>
    </row>
    <row r="545" spans="1:14" s="3" customFormat="1" ht="12.2" customHeight="1" thickTop="1" x14ac:dyDescent="0.15">
      <c r="A545" s="98" t="s">
        <v>72</v>
      </c>
      <c r="B545" s="107">
        <v>21</v>
      </c>
      <c r="C545" s="107">
        <v>21</v>
      </c>
      <c r="D545" s="158" t="s">
        <v>432</v>
      </c>
      <c r="E545" s="107"/>
      <c r="F545" s="89">
        <f>F524+F529+F534+F539+F544</f>
        <v>19307283.190000001</v>
      </c>
      <c r="G545" s="89">
        <f t="shared" ref="G545:L545" si="41">G524+G529+G534+G539+G544</f>
        <v>6777535.6799999997</v>
      </c>
      <c r="H545" s="89">
        <f t="shared" si="41"/>
        <v>11367855.366971001</v>
      </c>
      <c r="I545" s="89">
        <f t="shared" si="41"/>
        <v>133261.04999999999</v>
      </c>
      <c r="J545" s="89">
        <f t="shared" si="41"/>
        <v>57599.87</v>
      </c>
      <c r="K545" s="89">
        <f t="shared" si="41"/>
        <v>0</v>
      </c>
      <c r="L545" s="89">
        <f t="shared" si="41"/>
        <v>37643535.156971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12916564.020337056</v>
      </c>
      <c r="G549" s="87">
        <f>L526</f>
        <v>3035759.1004619999</v>
      </c>
      <c r="H549" s="87">
        <f>L531</f>
        <v>220906.12234500001</v>
      </c>
      <c r="I549" s="87">
        <f>L536</f>
        <v>0</v>
      </c>
      <c r="J549" s="87">
        <f>L541</f>
        <v>1978236.0937110002</v>
      </c>
      <c r="K549" s="87">
        <f>SUM(F549:J549)</f>
        <v>18151465.336855058</v>
      </c>
      <c r="L549" s="24" t="s">
        <v>288</v>
      </c>
      <c r="M549" s="8"/>
      <c r="N549" s="266"/>
    </row>
    <row r="550" spans="1:14" s="3" customFormat="1" ht="12.2" customHeight="1" x14ac:dyDescent="0.15">
      <c r="A550" s="22" t="s">
        <v>634</v>
      </c>
      <c r="B550" s="75">
        <v>21</v>
      </c>
      <c r="C550" s="75">
        <v>23</v>
      </c>
      <c r="D550" s="2" t="s">
        <v>432</v>
      </c>
      <c r="E550" s="75"/>
      <c r="F550" s="87">
        <f>L522</f>
        <v>5220171.2470232034</v>
      </c>
      <c r="G550" s="87">
        <f>L527</f>
        <v>1300857.9274300002</v>
      </c>
      <c r="H550" s="87">
        <f>L532</f>
        <v>101089.658925</v>
      </c>
      <c r="I550" s="87">
        <f>L537</f>
        <v>0</v>
      </c>
      <c r="J550" s="87">
        <f>L542</f>
        <v>942389.59988999995</v>
      </c>
      <c r="K550" s="87">
        <f>SUM(F550:J550)</f>
        <v>7564508.4332682034</v>
      </c>
      <c r="L550" s="24" t="s">
        <v>288</v>
      </c>
      <c r="M550" s="8"/>
      <c r="N550" s="266"/>
    </row>
    <row r="551" spans="1:14" s="3" customFormat="1" ht="12.2" customHeight="1" thickBot="1" x14ac:dyDescent="0.2">
      <c r="A551" s="22" t="s">
        <v>635</v>
      </c>
      <c r="B551" s="75">
        <v>21</v>
      </c>
      <c r="C551" s="75">
        <v>24</v>
      </c>
      <c r="D551" s="2" t="s">
        <v>432</v>
      </c>
      <c r="E551" s="75"/>
      <c r="F551" s="87">
        <f>L523</f>
        <v>9321598.5026397407</v>
      </c>
      <c r="G551" s="87">
        <f>L528</f>
        <v>1500078.252108</v>
      </c>
      <c r="H551" s="87">
        <f>L533</f>
        <v>116571.06872999997</v>
      </c>
      <c r="I551" s="87">
        <f>L538</f>
        <v>0</v>
      </c>
      <c r="J551" s="87">
        <f>L543</f>
        <v>989313.56336999999</v>
      </c>
      <c r="K551" s="87">
        <f>SUM(F551:J551)</f>
        <v>11927561.386847742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27458333.77</v>
      </c>
      <c r="G552" s="89">
        <f t="shared" si="42"/>
        <v>5836695.2800000003</v>
      </c>
      <c r="H552" s="89">
        <f t="shared" si="42"/>
        <v>438566.85</v>
      </c>
      <c r="I552" s="89">
        <f t="shared" si="42"/>
        <v>0</v>
      </c>
      <c r="J552" s="89">
        <f t="shared" si="42"/>
        <v>3909939.2569710002</v>
      </c>
      <c r="K552" s="89">
        <f t="shared" si="42"/>
        <v>37643535.156971008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1061988.2196461</v>
      </c>
      <c r="G562" s="18">
        <v>479353.37439520005</v>
      </c>
      <c r="H562" s="18">
        <v>6218.5168874999999</v>
      </c>
      <c r="I562" s="18">
        <v>13436.634042600001</v>
      </c>
      <c r="J562" s="18">
        <v>43141.512565500001</v>
      </c>
      <c r="K562" s="18">
        <v>83.158012499999998</v>
      </c>
      <c r="L562" s="88">
        <f>SUM(F562:K562)</f>
        <v>1604221.4155494</v>
      </c>
      <c r="M562" s="8"/>
      <c r="N562" s="266"/>
    </row>
    <row r="563" spans="1:14" s="3" customFormat="1" ht="12.2" customHeight="1" x14ac:dyDescent="0.15">
      <c r="A563" s="22" t="s">
        <v>634</v>
      </c>
      <c r="B563" s="105">
        <v>22</v>
      </c>
      <c r="C563" s="115">
        <v>6</v>
      </c>
      <c r="D563" s="2" t="s">
        <v>432</v>
      </c>
      <c r="E563" s="115"/>
      <c r="F563" s="18">
        <v>334738.8719808</v>
      </c>
      <c r="G563" s="18">
        <v>166287.73154560002</v>
      </c>
      <c r="H563" s="18">
        <v>2780.7215999999999</v>
      </c>
      <c r="I563" s="18">
        <v>6948.8579328000014</v>
      </c>
      <c r="J563" s="18">
        <v>19291.502784</v>
      </c>
      <c r="K563" s="18">
        <v>37.185600000000001</v>
      </c>
      <c r="L563" s="88">
        <f>SUM(F563:K563)</f>
        <v>530084.87144320004</v>
      </c>
      <c r="M563" s="8"/>
      <c r="N563" s="266"/>
    </row>
    <row r="564" spans="1:14" s="3" customFormat="1" ht="12.2" customHeight="1" thickBot="1" x14ac:dyDescent="0.2">
      <c r="A564" s="22" t="s">
        <v>635</v>
      </c>
      <c r="B564" s="105">
        <v>22</v>
      </c>
      <c r="C564" s="118">
        <v>7</v>
      </c>
      <c r="D564" s="2" t="s">
        <v>432</v>
      </c>
      <c r="E564" s="118"/>
      <c r="F564" s="18">
        <v>488063.33837310004</v>
      </c>
      <c r="G564" s="18">
        <v>230498.30405919999</v>
      </c>
      <c r="H564" s="18">
        <v>2872.0115125000002</v>
      </c>
      <c r="I564" s="18">
        <v>5944.1880246000001</v>
      </c>
      <c r="J564" s="18">
        <v>19924.834650500001</v>
      </c>
      <c r="K564" s="18">
        <v>38.406387500000001</v>
      </c>
      <c r="L564" s="88">
        <f>SUM(F564:K564)</f>
        <v>747341.08300740004</v>
      </c>
      <c r="M564" s="8"/>
      <c r="N564" s="266"/>
    </row>
    <row r="565" spans="1:14" s="3" customFormat="1" ht="12.2" customHeight="1" thickTop="1" x14ac:dyDescent="0.15">
      <c r="A565" s="139" t="s">
        <v>65</v>
      </c>
      <c r="B565" s="107">
        <v>22</v>
      </c>
      <c r="C565" s="107">
        <v>8</v>
      </c>
      <c r="D565" s="196" t="s">
        <v>432</v>
      </c>
      <c r="E565" s="107"/>
      <c r="F565" s="89">
        <f t="shared" ref="F565:L565" si="44">SUM(F562:F564)</f>
        <v>1884790.4300000002</v>
      </c>
      <c r="G565" s="89">
        <f t="shared" si="44"/>
        <v>876139.41</v>
      </c>
      <c r="H565" s="89">
        <f t="shared" si="44"/>
        <v>11871.25</v>
      </c>
      <c r="I565" s="89">
        <f t="shared" si="44"/>
        <v>26329.68</v>
      </c>
      <c r="J565" s="89">
        <f t="shared" si="44"/>
        <v>82357.850000000006</v>
      </c>
      <c r="K565" s="89">
        <f t="shared" si="44"/>
        <v>158.75</v>
      </c>
      <c r="L565" s="89">
        <f t="shared" si="44"/>
        <v>2881647.37</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1884790.4300000002</v>
      </c>
      <c r="G571" s="89">
        <f t="shared" ref="G571:L571" si="46">G560+G565+G570</f>
        <v>876139.41</v>
      </c>
      <c r="H571" s="89">
        <f t="shared" si="46"/>
        <v>11871.25</v>
      </c>
      <c r="I571" s="89">
        <f t="shared" si="46"/>
        <v>26329.68</v>
      </c>
      <c r="J571" s="89">
        <f t="shared" si="46"/>
        <v>82357.850000000006</v>
      </c>
      <c r="K571" s="89">
        <f t="shared" si="46"/>
        <v>158.75</v>
      </c>
      <c r="L571" s="89">
        <f t="shared" si="46"/>
        <v>2881647.37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11889.5</v>
      </c>
      <c r="G579" s="18">
        <v>6019.41</v>
      </c>
      <c r="H579" s="18">
        <v>672486.97000000009</v>
      </c>
      <c r="I579" s="87">
        <f t="shared" si="47"/>
        <v>690395.88000000012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577916.11</v>
      </c>
      <c r="G582" s="18">
        <v>743630.74</v>
      </c>
      <c r="H582" s="18">
        <v>4054515.4400000018</v>
      </c>
      <c r="I582" s="87">
        <f t="shared" si="47"/>
        <v>5376062.2900000019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15308</v>
      </c>
      <c r="I584" s="87">
        <f t="shared" si="47"/>
        <v>15308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1323409.4051189998</v>
      </c>
      <c r="I591" s="18">
        <v>664980.56675</v>
      </c>
      <c r="J591" s="18">
        <v>1012651.1711599994</v>
      </c>
      <c r="K591" s="104">
        <f t="shared" ref="K591:K597" si="48">SUM(H591:J591)</f>
        <v>3001041.1430289992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1978236.0937110002</v>
      </c>
      <c r="I592" s="18">
        <v>942389.59988999995</v>
      </c>
      <c r="J592" s="18">
        <v>989313.56336999999</v>
      </c>
      <c r="K592" s="104">
        <f t="shared" si="48"/>
        <v>3909939.2569710002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267.89</v>
      </c>
      <c r="K593" s="104">
        <f t="shared" si="48"/>
        <v>267.89</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25261.25</v>
      </c>
      <c r="J594" s="18">
        <v>339137.22000000003</v>
      </c>
      <c r="K594" s="104">
        <f t="shared" si="48"/>
        <v>364398.47000000003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60</v>
      </c>
      <c r="I595" s="18">
        <v>0</v>
      </c>
      <c r="J595" s="18">
        <v>12826.35</v>
      </c>
      <c r="K595" s="104">
        <f t="shared" si="48"/>
        <v>12886.35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3301705.4988299999</v>
      </c>
      <c r="I598" s="108">
        <f>SUM(I591:I597)</f>
        <v>1632631.41664</v>
      </c>
      <c r="J598" s="108">
        <f>SUM(J591:J597)</f>
        <v>2354196.1945299995</v>
      </c>
      <c r="K598" s="108">
        <f>SUM(K591:K597)</f>
        <v>7288533.1099999985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1054579.99177</v>
      </c>
      <c r="I604" s="18">
        <v>407909.42815999995</v>
      </c>
      <c r="J604" s="18">
        <v>678293.15006999997</v>
      </c>
      <c r="K604" s="104">
        <f>SUM(H604:J604)</f>
        <v>2140782.5699999998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1054579.99177</v>
      </c>
      <c r="I605" s="108">
        <f>SUM(I602:I604)</f>
        <v>407909.42815999995</v>
      </c>
      <c r="J605" s="108">
        <f>SUM(J602:J604)</f>
        <v>678293.15006999997</v>
      </c>
      <c r="K605" s="108">
        <f>SUM(K602:K604)</f>
        <v>2140782.5699999998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91217.018440000014</v>
      </c>
      <c r="G611" s="18">
        <v>8743.0147699999998</v>
      </c>
      <c r="H611" s="18">
        <v>82979.381399999998</v>
      </c>
      <c r="I611" s="18">
        <v>29627.143850000004</v>
      </c>
      <c r="J611" s="18">
        <v>0</v>
      </c>
      <c r="K611" s="18">
        <v>0</v>
      </c>
      <c r="L611" s="88">
        <f>SUM(F611:K611)</f>
        <v>212566.55846</v>
      </c>
      <c r="M611" s="8"/>
      <c r="N611" s="266"/>
    </row>
    <row r="612" spans="1:14" s="3" customFormat="1" ht="12.2" customHeight="1" x14ac:dyDescent="0.15">
      <c r="A612" s="22" t="s">
        <v>634</v>
      </c>
      <c r="B612" s="75">
        <v>23</v>
      </c>
      <c r="C612" s="75">
        <v>14</v>
      </c>
      <c r="D612" s="2" t="s">
        <v>432</v>
      </c>
      <c r="E612" s="75"/>
      <c r="F612" s="18">
        <v>306.40680000000003</v>
      </c>
      <c r="G612" s="18">
        <v>429.81190000000004</v>
      </c>
      <c r="H612" s="18">
        <v>9226.6580000000013</v>
      </c>
      <c r="I612" s="18">
        <v>935.25950000000012</v>
      </c>
      <c r="J612" s="18">
        <v>0</v>
      </c>
      <c r="K612" s="18">
        <v>0</v>
      </c>
      <c r="L612" s="88">
        <f>SUM(F612:K612)</f>
        <v>10898.136200000001</v>
      </c>
      <c r="M612" s="8"/>
      <c r="N612" s="266"/>
    </row>
    <row r="613" spans="1:14" s="3" customFormat="1" ht="12.2" customHeight="1" thickBot="1" x14ac:dyDescent="0.2">
      <c r="A613" s="22" t="s">
        <v>645</v>
      </c>
      <c r="B613" s="75">
        <v>23</v>
      </c>
      <c r="C613" s="75">
        <v>15</v>
      </c>
      <c r="D613" s="2" t="s">
        <v>432</v>
      </c>
      <c r="E613" s="75"/>
      <c r="F613" s="18">
        <v>63653.104760000002</v>
      </c>
      <c r="G613" s="18">
        <v>3829.9533300000003</v>
      </c>
      <c r="H613" s="18">
        <v>121072.96059999999</v>
      </c>
      <c r="I613" s="18">
        <v>10506.37665</v>
      </c>
      <c r="J613" s="18">
        <v>0</v>
      </c>
      <c r="K613" s="18">
        <v>0</v>
      </c>
      <c r="L613" s="88">
        <f>SUM(F613:K613)</f>
        <v>199062.39533999999</v>
      </c>
      <c r="M613" s="8"/>
      <c r="N613" s="266"/>
    </row>
    <row r="614" spans="1:14" s="3" customFormat="1" ht="12.2" customHeight="1" thickTop="1" x14ac:dyDescent="0.15">
      <c r="A614" s="98" t="s">
        <v>340</v>
      </c>
      <c r="B614" s="107">
        <v>23</v>
      </c>
      <c r="C614" s="107">
        <v>16</v>
      </c>
      <c r="D614" s="39" t="s">
        <v>432</v>
      </c>
      <c r="E614" s="107"/>
      <c r="F614" s="108">
        <f t="shared" ref="F614:L614" si="49">SUM(F611:F613)</f>
        <v>155176.53000000003</v>
      </c>
      <c r="G614" s="108">
        <f t="shared" si="49"/>
        <v>13002.78</v>
      </c>
      <c r="H614" s="108">
        <f t="shared" si="49"/>
        <v>213279</v>
      </c>
      <c r="I614" s="108">
        <f t="shared" si="49"/>
        <v>41068.780000000006</v>
      </c>
      <c r="J614" s="108">
        <f t="shared" si="49"/>
        <v>0</v>
      </c>
      <c r="K614" s="108">
        <f t="shared" si="49"/>
        <v>0</v>
      </c>
      <c r="L614" s="89">
        <f t="shared" si="49"/>
        <v>422527.08999999997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0</v>
      </c>
      <c r="H617" s="109">
        <f>SUM(F52)</f>
        <v>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816471.6</v>
      </c>
      <c r="H618" s="109">
        <f>SUM(G52)</f>
        <v>816471.60000000009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3061893.93</v>
      </c>
      <c r="H619" s="109">
        <f>SUM(H52)</f>
        <v>3061893.9299999997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1.4097167877480388E-11</v>
      </c>
      <c r="I620" s="121" t="s">
        <v>878</v>
      </c>
      <c r="J620" s="109">
        <f>G620-H620</f>
        <v>-1.4097167877480388E-11</v>
      </c>
      <c r="K620" s="109"/>
      <c r="L620" s="109"/>
      <c r="M620" s="8"/>
    </row>
    <row r="621" spans="1:14" s="3" customFormat="1" ht="12.2" customHeight="1" x14ac:dyDescent="0.15">
      <c r="A621" s="97"/>
      <c r="B621" s="105"/>
      <c r="C621" s="105"/>
      <c r="D621" s="105"/>
      <c r="E621" s="105"/>
      <c r="F621" s="121" t="s">
        <v>687</v>
      </c>
      <c r="G621" s="109">
        <f>SUM(J19)</f>
        <v>8863381.9900000002</v>
      </c>
      <c r="H621" s="109">
        <f>SUM(J52)</f>
        <v>8863381.9900000002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815908.29</v>
      </c>
      <c r="H623" s="109">
        <f>G476</f>
        <v>815908.29</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1414770.93</v>
      </c>
      <c r="H624" s="109">
        <f>H476</f>
        <v>1414770.9299999997</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-2347.359999999986</v>
      </c>
      <c r="H625" s="109">
        <f>I476</f>
        <v>-2347.3600000001024</v>
      </c>
      <c r="I625" s="121" t="s">
        <v>104</v>
      </c>
      <c r="J625" s="109">
        <f t="shared" si="50"/>
        <v>1.1641532182693481E-10</v>
      </c>
      <c r="K625" s="109"/>
      <c r="L625" s="109"/>
      <c r="M625" s="8"/>
    </row>
    <row r="626" spans="1:13" s="3" customFormat="1" ht="12.2" customHeight="1" x14ac:dyDescent="0.15">
      <c r="A626" s="22"/>
      <c r="B626" s="105"/>
      <c r="C626" s="105"/>
      <c r="D626" s="105"/>
      <c r="E626" s="105"/>
      <c r="F626" s="120" t="s">
        <v>869</v>
      </c>
      <c r="G626" s="109">
        <f>J51</f>
        <v>8705086.4100000001</v>
      </c>
      <c r="H626" s="109">
        <f>J476</f>
        <v>8705086.4100000001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159513115</v>
      </c>
      <c r="H627" s="104">
        <f>SUM(F468)</f>
        <v>159513115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4961677.54</v>
      </c>
      <c r="H628" s="104">
        <f>SUM(G468)</f>
        <v>4961677.54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10357341.51</v>
      </c>
      <c r="H629" s="104">
        <f>SUM(H468)</f>
        <v>10357341.51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1318740.96</v>
      </c>
      <c r="H630" s="104">
        <f>SUM(I468)</f>
        <v>1318740.96</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1390277.56</v>
      </c>
      <c r="H631" s="104">
        <f>SUM(J468)</f>
        <v>1390277.56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159513115</v>
      </c>
      <c r="H632" s="104">
        <f>SUM(F472)</f>
        <v>159513115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10114276.74</v>
      </c>
      <c r="H633" s="104">
        <f>SUM(H472)</f>
        <v>10114276.74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2158648.5300000003</v>
      </c>
      <c r="H634" s="104">
        <f>I369</f>
        <v>2158648.5300000003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4791851.71</v>
      </c>
      <c r="H635" s="104">
        <f>SUM(G472)</f>
        <v>4791851.71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1244162.9300000002</v>
      </c>
      <c r="H636" s="104">
        <f>SUM(I472)</f>
        <v>1244162.9300000002</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1390277.56</v>
      </c>
      <c r="H637" s="164">
        <f>SUM(J468)</f>
        <v>1390277.56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713780.42999999993</v>
      </c>
      <c r="H638" s="164">
        <f>SUM(J472)</f>
        <v>713780.43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1015220.63</v>
      </c>
      <c r="H639" s="104">
        <f>SUM(F461)</f>
        <v>1015220.63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1231689.45</v>
      </c>
      <c r="H640" s="104">
        <f>SUM(G461)</f>
        <v>1231689.4500000002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6616471.9100000001</v>
      </c>
      <c r="H641" s="104">
        <f>SUM(H461)</f>
        <v>6616471.9100000001</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8863381.9900000002</v>
      </c>
      <c r="H642" s="104">
        <f>SUM(I461)</f>
        <v>8863381.9900000002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560842.80999999994</v>
      </c>
      <c r="H644" s="104">
        <f>H408</f>
        <v>560842.80999999994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297225.57</v>
      </c>
      <c r="H645" s="104">
        <f>G408</f>
        <v>297225.57</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1390277.56</v>
      </c>
      <c r="H646" s="104">
        <f>L408</f>
        <v>1390277.56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7288533.1099999985</v>
      </c>
      <c r="H647" s="104">
        <f>L208+L226+L244</f>
        <v>7288533.1100000003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2140782.5699999998</v>
      </c>
      <c r="H648" s="104">
        <f>(J257+J338)-(J255+J336)</f>
        <v>2140782.5700000003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3301705.4988299999</v>
      </c>
      <c r="H649" s="104">
        <f>H598</f>
        <v>3301705.4988299999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1632631.41664</v>
      </c>
      <c r="H650" s="104">
        <f>I598</f>
        <v>1632631.41664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2354196.19453</v>
      </c>
      <c r="H651" s="104">
        <f>J598</f>
        <v>2354196.1945299995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30921.65</v>
      </c>
      <c r="H653" s="104">
        <f>K264</f>
        <v>30921.65</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250250</v>
      </c>
      <c r="H655" s="104">
        <f>K266+K347</f>
        <v>250250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74765314.435662761</v>
      </c>
      <c r="G660" s="19">
        <f>(L229+L309+L359)</f>
        <v>35411678.197442345</v>
      </c>
      <c r="H660" s="19">
        <f>(L247+L328+L360)</f>
        <v>53193395.416894913</v>
      </c>
      <c r="I660" s="19">
        <f>SUM(F660:H660)</f>
        <v>163370388.05000001</v>
      </c>
      <c r="J660" s="13"/>
      <c r="K660" s="13"/>
      <c r="L660" s="13"/>
      <c r="M660" s="9"/>
    </row>
    <row r="661" spans="1:13" s="3" customFormat="1" ht="12.2" customHeight="1" x14ac:dyDescent="0.2">
      <c r="A661" s="1" t="s">
        <v>127</v>
      </c>
      <c r="F661" s="19">
        <f>(L358/IF(SUM(L358:L360)=0,1,SUM(L358:L360))*(SUM(G97:G110)))</f>
        <v>817057.17783347075</v>
      </c>
      <c r="G661" s="19">
        <f>(L359/IF(SUM(L358:L360)=0,1,SUM(L358:L360))*(SUM(G97:G110)))</f>
        <v>448357.68029908265</v>
      </c>
      <c r="H661" s="19">
        <f>(L360/IF(SUM(L358:L360)=0,1,SUM(L358:L360))*(SUM(G97:G110)))</f>
        <v>654731.50186744682</v>
      </c>
      <c r="I661" s="19">
        <f>SUM(F661:H661)</f>
        <v>1920146.36</v>
      </c>
      <c r="J661"/>
      <c r="K661" s="13"/>
      <c r="L661" s="13"/>
      <c r="M661" s="9"/>
    </row>
    <row r="662" spans="1:13" s="3" customFormat="1" ht="12.2" customHeight="1" x14ac:dyDescent="0.2">
      <c r="A662" s="1" t="s">
        <v>128</v>
      </c>
      <c r="F662" s="19">
        <f>(L208+L287)-(J208+J287)</f>
        <v>3312661.9009722997</v>
      </c>
      <c r="G662" s="19">
        <f>(L226+L306)-(J226+J306)</f>
        <v>1637280.8018944</v>
      </c>
      <c r="H662" s="19">
        <f>(L244+L325)-(J244+J325)</f>
        <v>2368080.8371333</v>
      </c>
      <c r="I662" s="19">
        <f>SUM(F662:H662)</f>
        <v>7318023.5399999991</v>
      </c>
      <c r="J662"/>
      <c r="K662" s="13"/>
      <c r="L662" s="13"/>
      <c r="M662" s="8"/>
    </row>
    <row r="663" spans="1:13" s="3" customFormat="1" ht="12.2" customHeight="1" x14ac:dyDescent="0.15">
      <c r="A663" s="198" t="s">
        <v>129</v>
      </c>
      <c r="B663" s="169"/>
      <c r="C663" s="169"/>
      <c r="D663" s="169"/>
      <c r="E663" s="169"/>
      <c r="F663" s="199">
        <f>SUM(F575:F587)+SUM(H602:H604)+SUM(L611)</f>
        <v>1856952.16023</v>
      </c>
      <c r="G663" s="199">
        <f>SUM(G575:G587)+SUM(I602:I604)+L612</f>
        <v>1168457.7143600001</v>
      </c>
      <c r="H663" s="199">
        <f>SUM(H575:H587)+SUM(J602:J604)+L613</f>
        <v>5619665.9554100027</v>
      </c>
      <c r="I663" s="19">
        <f>SUM(F663:H663)</f>
        <v>8645075.8300000019</v>
      </c>
      <c r="J663" s="13"/>
      <c r="K663" s="13"/>
      <c r="L663" s="13"/>
      <c r="M663" s="9"/>
    </row>
    <row r="664" spans="1:13" s="3" customFormat="1" ht="12.2" customHeight="1" x14ac:dyDescent="0.15">
      <c r="A664" s="1" t="s">
        <v>130</v>
      </c>
      <c r="F664" s="19">
        <f>F660-SUM(F661:F663)</f>
        <v>68778643.196626991</v>
      </c>
      <c r="G664" s="19">
        <f>G660-SUM(G661:G663)</f>
        <v>32157582.000888862</v>
      </c>
      <c r="H664" s="19">
        <f>H660-SUM(H661:H663)</f>
        <v>44550917.122484162</v>
      </c>
      <c r="I664" s="19">
        <f>I660-SUM(I661:I663)</f>
        <v>145487142.32000002</v>
      </c>
      <c r="J664" s="13"/>
      <c r="K664" s="13"/>
      <c r="L664" s="13"/>
      <c r="M664" s="9"/>
    </row>
    <row r="665" spans="1:13" s="3" customFormat="1" ht="12.2" customHeight="1" x14ac:dyDescent="0.2">
      <c r="A665" s="1" t="s">
        <v>131</v>
      </c>
      <c r="F665" s="246">
        <v>5032.8</v>
      </c>
      <c r="G665" s="247">
        <v>2421.77</v>
      </c>
      <c r="H665" s="247">
        <v>3500.92</v>
      </c>
      <c r="I665" s="19">
        <f>SUM(F665:H665)</f>
        <v>10955.49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13666.08</v>
      </c>
      <c r="G667" s="19">
        <f>ROUND(G664/G665,2)</f>
        <v>13278.55</v>
      </c>
      <c r="H667" s="19">
        <f>ROUND(H664/H665,2)</f>
        <v>12725.49</v>
      </c>
      <c r="I667" s="19">
        <f>ROUND(I664/I665,2)</f>
        <v>13279.84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15.78</v>
      </c>
      <c r="I670" s="19">
        <f>SUM(F670:H670)</f>
        <v>15.78</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13666.08</v>
      </c>
      <c r="G672" s="19">
        <f>ROUND((G664+G669)/(G665+G670),2)</f>
        <v>13278.55</v>
      </c>
      <c r="H672" s="19">
        <f>ROUND((H664+H669)/(H665+H670),2)</f>
        <v>12668.39</v>
      </c>
      <c r="I672" s="19">
        <f>ROUND((I664+I669)/(I665+I670),2)</f>
        <v>13260.74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NASHUA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40403396.240000017</v>
      </c>
      <c r="C9" s="229">
        <f>'DOE25'!G197+'DOE25'!G215+'DOE25'!G233+'DOE25'!G276+'DOE25'!G295+'DOE25'!G314</f>
        <v>19665495.850000001</v>
      </c>
    </row>
    <row r="10" spans="1:3" x14ac:dyDescent="0.2">
      <c r="A10" t="s">
        <v>775</v>
      </c>
      <c r="B10" s="240">
        <v>39257820.229999997</v>
      </c>
      <c r="C10" s="240">
        <v>19107911.030000001</v>
      </c>
    </row>
    <row r="11" spans="1:3" x14ac:dyDescent="0.2">
      <c r="A11" t="s">
        <v>776</v>
      </c>
      <c r="B11" s="240">
        <v>669010.09</v>
      </c>
      <c r="C11" s="240">
        <v>325626.46999999997</v>
      </c>
    </row>
    <row r="12" spans="1:3" x14ac:dyDescent="0.2">
      <c r="A12" t="s">
        <v>777</v>
      </c>
      <c r="B12" s="240">
        <v>476565.92</v>
      </c>
      <c r="C12" s="240">
        <v>231958.35</v>
      </c>
    </row>
    <row r="13" spans="1:3" x14ac:dyDescent="0.2">
      <c r="A13" t="str">
        <f>IF(B9=B13,IF(C9=C13,"Check Total OK","Check Total Error"),"Check Total Error")</f>
        <v>Check Total OK</v>
      </c>
      <c r="B13" s="231">
        <f>SUM(B10:B12)</f>
        <v>40403396.240000002</v>
      </c>
      <c r="C13" s="231">
        <f>SUM(C10:C12)</f>
        <v>19665495.850000001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19313494.560000002</v>
      </c>
      <c r="C18" s="229">
        <f>'DOE25'!G198+'DOE25'!G216+'DOE25'!G234+'DOE25'!G277+'DOE25'!G296+'DOE25'!G315</f>
        <v>6941354.1100000003</v>
      </c>
    </row>
    <row r="19" spans="1:3" x14ac:dyDescent="0.2">
      <c r="A19" t="s">
        <v>775</v>
      </c>
      <c r="B19" s="240">
        <v>10818916.74</v>
      </c>
      <c r="C19" s="240">
        <v>3888365.82</v>
      </c>
    </row>
    <row r="20" spans="1:3" x14ac:dyDescent="0.2">
      <c r="A20" t="s">
        <v>776</v>
      </c>
      <c r="B20" s="240">
        <v>7637503.7999999998</v>
      </c>
      <c r="C20" s="240">
        <v>2744952.15</v>
      </c>
    </row>
    <row r="21" spans="1:3" x14ac:dyDescent="0.2">
      <c r="A21" t="s">
        <v>777</v>
      </c>
      <c r="B21" s="240">
        <v>857074.02</v>
      </c>
      <c r="C21" s="240">
        <v>308036.14</v>
      </c>
    </row>
    <row r="22" spans="1:3" x14ac:dyDescent="0.2">
      <c r="A22" t="str">
        <f>IF(B18=B22,IF(C18=C22,"Check Total OK","Check Total Error"),"Check Total Error")</f>
        <v>Check Total OK</v>
      </c>
      <c r="B22" s="231">
        <f>SUM(B19:B21)</f>
        <v>19313494.559999999</v>
      </c>
      <c r="C22" s="231">
        <f>SUM(C19:C21)</f>
        <v>6941354.1099999994</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3521518.1700000004</v>
      </c>
      <c r="C27" s="234">
        <f>'DOE25'!G199+'DOE25'!G217+'DOE25'!G235+'DOE25'!G278+'DOE25'!G297+'DOE25'!G316</f>
        <v>1714025.9099999997</v>
      </c>
    </row>
    <row r="28" spans="1:3" x14ac:dyDescent="0.2">
      <c r="A28" t="s">
        <v>775</v>
      </c>
      <c r="B28" s="240">
        <v>3440765.39</v>
      </c>
      <c r="C28" s="240">
        <v>1674721.17</v>
      </c>
    </row>
    <row r="29" spans="1:3" x14ac:dyDescent="0.2">
      <c r="A29" t="s">
        <v>776</v>
      </c>
      <c r="B29" s="240">
        <v>56280.84</v>
      </c>
      <c r="C29" s="240">
        <v>27393.53</v>
      </c>
    </row>
    <row r="30" spans="1:3" x14ac:dyDescent="0.2">
      <c r="A30" t="s">
        <v>777</v>
      </c>
      <c r="B30" s="240">
        <v>24471.94</v>
      </c>
      <c r="C30" s="240">
        <v>11911.21</v>
      </c>
    </row>
    <row r="31" spans="1:3" x14ac:dyDescent="0.2">
      <c r="A31" t="str">
        <f>IF(B27=B31,IF(C27=C31,"Check Total OK","Check Total Error"),"Check Total Error")</f>
        <v>Check Total OK</v>
      </c>
      <c r="B31" s="231">
        <f>SUM(B28:B30)</f>
        <v>3521518.17</v>
      </c>
      <c r="C31" s="231">
        <f>SUM(C28:C30)</f>
        <v>1714025.91</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1088791.57</v>
      </c>
      <c r="C36" s="235">
        <f>'DOE25'!G200+'DOE25'!G218+'DOE25'!G236+'DOE25'!G279+'DOE25'!G298+'DOE25'!G317</f>
        <v>124716.45</v>
      </c>
    </row>
    <row r="37" spans="1:3" x14ac:dyDescent="0.2">
      <c r="A37" t="s">
        <v>775</v>
      </c>
      <c r="B37" s="240">
        <v>381395.86</v>
      </c>
      <c r="C37" s="240">
        <v>43687.28</v>
      </c>
    </row>
    <row r="38" spans="1:3" x14ac:dyDescent="0.2">
      <c r="A38" t="s">
        <v>776</v>
      </c>
      <c r="B38" s="240">
        <v>55408.55</v>
      </c>
      <c r="C38" s="240">
        <v>6346.81</v>
      </c>
    </row>
    <row r="39" spans="1:3" x14ac:dyDescent="0.2">
      <c r="A39" t="s">
        <v>777</v>
      </c>
      <c r="B39" s="240">
        <v>651987.16</v>
      </c>
      <c r="C39" s="240">
        <v>74682.36</v>
      </c>
    </row>
    <row r="40" spans="1:3" x14ac:dyDescent="0.2">
      <c r="A40" t="str">
        <f>IF(B36=B40,IF(C36=C40,"Check Total OK","Check Total Error"),"Check Total Error")</f>
        <v>Check Total OK</v>
      </c>
      <c r="B40" s="231">
        <f>SUM(B37:B39)</f>
        <v>1088791.57</v>
      </c>
      <c r="C40" s="231">
        <f>SUM(C37:C39)</f>
        <v>124716.45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35" sqref="D3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NASHUA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95875304.060000017</v>
      </c>
      <c r="D5" s="20">
        <f>SUM('DOE25'!L197:L200)+SUM('DOE25'!L215:L218)+SUM('DOE25'!L233:L236)-F5-G5-H5</f>
        <v>95229949.380000025</v>
      </c>
      <c r="E5" s="243"/>
      <c r="F5" s="244">
        <v>644005.79999999993</v>
      </c>
      <c r="G5" s="53">
        <f>SUM('DOE25'!J197:J200)+SUM('DOE25'!J215:J218)+SUM('DOE25'!J233:J236)</f>
        <v>215920.22</v>
      </c>
      <c r="H5" s="53">
        <f>SUM('DOE25'!K197:K200)+SUM('DOE25'!K215:K218)+SUM('DOE25'!K233:K236)</f>
        <v>-214571.34000000003</v>
      </c>
      <c r="I5" s="256"/>
    </row>
    <row r="6" spans="1:9" x14ac:dyDescent="0.2">
      <c r="A6" s="32">
        <v>2100</v>
      </c>
      <c r="B6" t="s">
        <v>796</v>
      </c>
      <c r="C6" s="276">
        <f t="shared" si="0"/>
        <v>13349412.950000001</v>
      </c>
      <c r="D6" s="20">
        <f>'DOE25'!L202+'DOE25'!L220+'DOE25'!L238-F6-G6-H6</f>
        <v>12328029.440000001</v>
      </c>
      <c r="E6" s="243"/>
      <c r="F6" s="244">
        <v>1021383.5100000001</v>
      </c>
      <c r="G6" s="53">
        <f>'DOE25'!J202+'DOE25'!J220+'DOE25'!J238</f>
        <v>0</v>
      </c>
      <c r="H6" s="53">
        <f>'DOE25'!K202+'DOE25'!K220+'DOE25'!K238</f>
        <v>0</v>
      </c>
      <c r="I6" s="256"/>
    </row>
    <row r="7" spans="1:9" x14ac:dyDescent="0.2">
      <c r="A7" s="32">
        <v>2200</v>
      </c>
      <c r="B7" t="s">
        <v>821</v>
      </c>
      <c r="C7" s="276">
        <f t="shared" si="0"/>
        <v>5407166.6099999994</v>
      </c>
      <c r="D7" s="20">
        <f>'DOE25'!L203+'DOE25'!L221+'DOE25'!L239-F7-G7-H7</f>
        <v>4060216.399999999</v>
      </c>
      <c r="E7" s="243"/>
      <c r="F7" s="244">
        <v>516065.69000000006</v>
      </c>
      <c r="G7" s="53">
        <f>'DOE25'!J203+'DOE25'!J221+'DOE25'!J239</f>
        <v>830884.52</v>
      </c>
      <c r="H7" s="53">
        <f>'DOE25'!K203+'DOE25'!K221+'DOE25'!K239</f>
        <v>0</v>
      </c>
      <c r="I7" s="256"/>
    </row>
    <row r="8" spans="1:9" x14ac:dyDescent="0.2">
      <c r="A8" s="32">
        <v>2300</v>
      </c>
      <c r="B8" t="s">
        <v>797</v>
      </c>
      <c r="C8" s="276">
        <f t="shared" si="0"/>
        <v>2519348.33</v>
      </c>
      <c r="D8" s="243"/>
      <c r="E8" s="20">
        <f>'DOE25'!L204+'DOE25'!L222+'DOE25'!L240-F8-G8-H8-D9-D11</f>
        <v>2293107.62</v>
      </c>
      <c r="F8" s="244">
        <v>126151.19000000002</v>
      </c>
      <c r="G8" s="53">
        <f>'DOE25'!J204+'DOE25'!J222+'DOE25'!J240</f>
        <v>2864.9700000000003</v>
      </c>
      <c r="H8" s="53">
        <f>'DOE25'!K204+'DOE25'!K222+'DOE25'!K240</f>
        <v>97224.55</v>
      </c>
      <c r="I8" s="256"/>
    </row>
    <row r="9" spans="1:9" ht="14.25" x14ac:dyDescent="0.2">
      <c r="A9" s="32">
        <v>2310</v>
      </c>
      <c r="B9" s="185" t="s">
        <v>890</v>
      </c>
      <c r="C9" s="276">
        <f t="shared" si="0"/>
        <v>89848.17</v>
      </c>
      <c r="D9" s="244">
        <v>89848.17</v>
      </c>
      <c r="E9" s="243"/>
      <c r="F9" s="253"/>
      <c r="G9" s="253"/>
      <c r="H9" s="253"/>
      <c r="I9" s="256"/>
    </row>
    <row r="10" spans="1:9" ht="14.25" x14ac:dyDescent="0.2">
      <c r="A10" s="32">
        <v>2317</v>
      </c>
      <c r="B10" s="185" t="s">
        <v>891</v>
      </c>
      <c r="C10" s="276">
        <f t="shared" si="0"/>
        <v>22518</v>
      </c>
      <c r="D10" s="243"/>
      <c r="E10" s="244">
        <v>22518</v>
      </c>
      <c r="F10" s="253"/>
      <c r="G10" s="253"/>
      <c r="H10" s="253"/>
      <c r="I10" s="256"/>
    </row>
    <row r="11" spans="1:9" ht="14.25" x14ac:dyDescent="0.2">
      <c r="A11" s="32">
        <v>2321</v>
      </c>
      <c r="B11" s="185" t="s">
        <v>892</v>
      </c>
      <c r="C11" s="276">
        <f t="shared" si="0"/>
        <v>720259.62</v>
      </c>
      <c r="D11" s="244">
        <v>720259.62</v>
      </c>
      <c r="E11" s="243"/>
      <c r="F11" s="253"/>
      <c r="G11" s="253"/>
      <c r="H11" s="253"/>
      <c r="I11" s="256"/>
    </row>
    <row r="12" spans="1:9" x14ac:dyDescent="0.2">
      <c r="A12" s="32">
        <v>2400</v>
      </c>
      <c r="B12" t="s">
        <v>711</v>
      </c>
      <c r="C12" s="276">
        <f t="shared" si="0"/>
        <v>7319311.1299999999</v>
      </c>
      <c r="D12" s="20">
        <f>'DOE25'!L205+'DOE25'!L223+'DOE25'!L241-F12-G12-H12</f>
        <v>7318226.5499999998</v>
      </c>
      <c r="E12" s="243"/>
      <c r="F12" s="244"/>
      <c r="G12" s="53">
        <f>'DOE25'!J205+'DOE25'!J223+'DOE25'!J241</f>
        <v>1084.58</v>
      </c>
      <c r="H12" s="53">
        <f>'DOE25'!K205+'DOE25'!K223+'DOE25'!K241</f>
        <v>0</v>
      </c>
      <c r="I12" s="256"/>
    </row>
    <row r="13" spans="1:9" x14ac:dyDescent="0.2">
      <c r="A13" s="32">
        <v>2500</v>
      </c>
      <c r="B13" t="s">
        <v>798</v>
      </c>
      <c r="C13" s="276">
        <f t="shared" si="0"/>
        <v>1129147.3399999999</v>
      </c>
      <c r="D13" s="243"/>
      <c r="E13" s="20">
        <f>'DOE25'!L206+'DOE25'!L224+'DOE25'!L242-F13-G13-H13</f>
        <v>1129147.3399999999</v>
      </c>
      <c r="F13" s="244"/>
      <c r="G13" s="53">
        <f>'DOE25'!J206+'DOE25'!J224+'DOE25'!J242</f>
        <v>0</v>
      </c>
      <c r="H13" s="53">
        <f>'DOE25'!K206+'DOE25'!K224+'DOE25'!K242</f>
        <v>0</v>
      </c>
      <c r="I13" s="256"/>
    </row>
    <row r="14" spans="1:9" x14ac:dyDescent="0.2">
      <c r="A14" s="32">
        <v>2600</v>
      </c>
      <c r="B14" t="s">
        <v>819</v>
      </c>
      <c r="C14" s="276">
        <f t="shared" si="0"/>
        <v>14502479.800000001</v>
      </c>
      <c r="D14" s="20">
        <f>'DOE25'!L207+'DOE25'!L225+'DOE25'!L243-F14-G14-H14</f>
        <v>12941197.270000001</v>
      </c>
      <c r="E14" s="243"/>
      <c r="F14" s="244">
        <v>1666348.7300000002</v>
      </c>
      <c r="G14" s="53">
        <f>'DOE25'!J207+'DOE25'!J225+'DOE25'!J243</f>
        <v>94047.37000000001</v>
      </c>
      <c r="H14" s="53">
        <f>'DOE25'!K207+'DOE25'!K225+'DOE25'!K243</f>
        <v>-199113.57000000004</v>
      </c>
      <c r="I14" s="256"/>
    </row>
    <row r="15" spans="1:9" x14ac:dyDescent="0.2">
      <c r="A15" s="32">
        <v>2700</v>
      </c>
      <c r="B15" t="s">
        <v>799</v>
      </c>
      <c r="C15" s="276">
        <f t="shared" si="0"/>
        <v>7288533.1100000003</v>
      </c>
      <c r="D15" s="20">
        <f>'DOE25'!L208+'DOE25'!L226+'DOE25'!L244-F15-G15-H15</f>
        <v>607732.64000000153</v>
      </c>
      <c r="E15" s="243"/>
      <c r="F15" s="244">
        <v>6680800.4699999988</v>
      </c>
      <c r="G15" s="53">
        <f>'DOE25'!J208+'DOE25'!J226+'DOE25'!J244</f>
        <v>0</v>
      </c>
      <c r="H15" s="53">
        <f>'DOE25'!K208+'DOE25'!K226+'DOE25'!K244</f>
        <v>0</v>
      </c>
      <c r="I15" s="256"/>
    </row>
    <row r="16" spans="1:9" x14ac:dyDescent="0.2">
      <c r="A16" s="32">
        <v>2800</v>
      </c>
      <c r="B16" t="s">
        <v>800</v>
      </c>
      <c r="C16" s="276">
        <f t="shared" si="0"/>
        <v>618360.85</v>
      </c>
      <c r="D16" s="243"/>
      <c r="E16" s="20">
        <f>'DOE25'!L209+'DOE25'!L227+'DOE25'!L245-F16-G16-H16</f>
        <v>618360.85</v>
      </c>
      <c r="F16" s="244"/>
      <c r="G16" s="53">
        <f>'DOE25'!J209+'DOE25'!J227+'DOE25'!J245</f>
        <v>0</v>
      </c>
      <c r="H16" s="53">
        <f>'DOE25'!K209+'DOE25'!K227+'DOE25'!K245</f>
        <v>0</v>
      </c>
      <c r="I16" s="256"/>
    </row>
    <row r="17" spans="1:9" x14ac:dyDescent="0.2">
      <c r="A17" s="32">
        <v>1600</v>
      </c>
      <c r="B17" t="s">
        <v>801</v>
      </c>
      <c r="C17" s="276">
        <f t="shared" si="0"/>
        <v>132882.14000000001</v>
      </c>
      <c r="D17" s="20">
        <f>'DOE25'!L251-F17-G17-H17</f>
        <v>132882.14000000001</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175419.09</v>
      </c>
      <c r="D22" s="243"/>
      <c r="E22" s="243"/>
      <c r="F22" s="243"/>
      <c r="G22" s="53">
        <f>'DOE25'!L255+'DOE25'!L336</f>
        <v>175419.09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10104470.15</v>
      </c>
      <c r="D25" s="243"/>
      <c r="E25" s="243"/>
      <c r="F25" s="255"/>
      <c r="G25" s="253"/>
      <c r="H25" s="253"/>
      <c r="I25" s="254">
        <f>'DOE25'!L260+'DOE25'!L261+'DOE25'!L341+'DOE25'!L342</f>
        <v>10104470.15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2860268.0199999996</v>
      </c>
      <c r="D29" s="284">
        <f>'DOE25'!L358+'DOE25'!L359+'DOE25'!L360-'DOE25'!I367-F29-G29-H29</f>
        <v>2829573.0999999996</v>
      </c>
      <c r="E29" s="243"/>
      <c r="F29" s="244"/>
      <c r="G29" s="53">
        <f>'DOE25'!J358+'DOE25'!J359+'DOE25'!J360</f>
        <v>30694.919999999995</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10041604.41</v>
      </c>
      <c r="D31" s="20">
        <f>'DOE25'!L290+'DOE25'!L309+'DOE25'!L328+'DOE25'!L333+'DOE25'!L334+'DOE25'!L335-F31-G31-H31</f>
        <v>8366916.0500000007</v>
      </c>
      <c r="E31" s="243"/>
      <c r="F31" s="244">
        <v>217720.81</v>
      </c>
      <c r="G31" s="53">
        <f>'DOE25'!J290+'DOE25'!J309+'DOE25'!J328+'DOE25'!J333+'DOE25'!J334+'DOE25'!J335</f>
        <v>995745.96</v>
      </c>
      <c r="H31" s="53">
        <f>'DOE25'!K290+'DOE25'!K309+'DOE25'!K328+'DOE25'!K333+'DOE25'!K334+'DOE25'!K335</f>
        <v>461221.59</v>
      </c>
      <c r="I31" s="256"/>
    </row>
    <row r="32" spans="1:9" ht="12" thickBot="1" x14ac:dyDescent="0.25">
      <c r="C32" s="277"/>
      <c r="G32" s="251"/>
      <c r="H32" s="251"/>
      <c r="I32" s="258"/>
    </row>
    <row r="33" spans="1:9" ht="12" thickTop="1" x14ac:dyDescent="0.2">
      <c r="B33" t="s">
        <v>809</v>
      </c>
      <c r="D33" s="245">
        <f t="shared" ref="D33:I33" si="1">SUM(D5:D31)</f>
        <v>144624830.76000005</v>
      </c>
      <c r="E33" s="245">
        <f t="shared" si="1"/>
        <v>4063133.81</v>
      </c>
      <c r="F33" s="245">
        <f t="shared" si="1"/>
        <v>10872476.199999999</v>
      </c>
      <c r="G33" s="245">
        <f t="shared" si="1"/>
        <v>2346661.63</v>
      </c>
      <c r="H33" s="245">
        <f t="shared" si="1"/>
        <v>144761.22999999998</v>
      </c>
      <c r="I33" s="245">
        <f t="shared" si="1"/>
        <v>10104470.15</v>
      </c>
    </row>
    <row r="35" spans="1:9" ht="12" thickBot="1" x14ac:dyDescent="0.25">
      <c r="B35" s="251" t="s">
        <v>831</v>
      </c>
      <c r="D35" s="252">
        <f>E33</f>
        <v>4063133.81</v>
      </c>
      <c r="E35" s="248"/>
    </row>
    <row r="36" spans="1:9" ht="12" thickTop="1" x14ac:dyDescent="0.2">
      <c r="B36" t="s">
        <v>810</v>
      </c>
      <c r="D36" s="20">
        <f>D33</f>
        <v>144624830.76000005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dataConsolidate/>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7" sqref="I17"/>
    </sheetView>
  </sheetViews>
  <sheetFormatPr defaultRowHeight="11.25" x14ac:dyDescent="0.2"/>
  <cols>
    <col min="1" max="1" width="35.6640625" customWidth="1"/>
    <col min="2" max="2" width="22.33203125" customWidth="1"/>
    <col min="3" max="3" width="22" customWidth="1"/>
    <col min="4" max="5" width="14.6640625" customWidth="1"/>
    <col min="6" max="6" width="20.6640625" customWidth="1"/>
    <col min="7" max="7" width="23.83203125" customWidth="1"/>
    <col min="8" max="8" width="14.3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NASHUA SCHOOL DISTRICT</v>
      </c>
      <c r="B2" s="126">
        <f>'DOE25'!B2</f>
        <v>371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72726294.43368277</v>
      </c>
      <c r="G4" s="303">
        <f>'DOE25'!L211+'DOE25'!L290</f>
        <v>72726294.433682755</v>
      </c>
      <c r="H4" s="304">
        <f>F4-G4</f>
        <v>0</v>
      </c>
      <c r="I4" s="310" t="str">
        <f>IF(H4=0,"","Does not match DOE25 page 7 and 11 Totals!!")</f>
        <v/>
      </c>
      <c r="N4"/>
    </row>
    <row r="5" spans="1:18" x14ac:dyDescent="0.2">
      <c r="A5" s="21" t="s">
        <v>1324</v>
      </c>
      <c r="B5" s="305">
        <f>IFERROR(VLOOKUP(A5,'School Tables'!$C$3:$D$368,2,FALSE),"")</f>
        <v>21940</v>
      </c>
      <c r="C5" s="297" t="str">
        <f>IFERROR(INDEX('School Tables'!$B$3:$B$368,MATCH('School Level Expenditures'!B5,'School Tables'!$D$3:$D$368,0)),"")</f>
        <v>Nashua</v>
      </c>
      <c r="D5" s="294">
        <v>4363028.822831979</v>
      </c>
      <c r="E5" s="294">
        <v>934066.92608820007</v>
      </c>
      <c r="F5" s="313">
        <f>D5+E5</f>
        <v>5297095.748920179</v>
      </c>
      <c r="G5" s="297"/>
      <c r="H5" s="297"/>
      <c r="I5" s="126"/>
      <c r="N5"/>
    </row>
    <row r="6" spans="1:18" x14ac:dyDescent="0.2">
      <c r="A6" s="21" t="s">
        <v>1315</v>
      </c>
      <c r="B6" s="305">
        <f>IFERROR(VLOOKUP(A6,'School Tables'!$C$3:$D$368,2,FALSE),"")</f>
        <v>21865</v>
      </c>
      <c r="C6" s="297" t="str">
        <f>IFERROR(INDEX('School Tables'!$B$3:$B$368,MATCH('School Level Expenditures'!B6,'School Tables'!$D$3:$D$368,0)),"")</f>
        <v>Nashua</v>
      </c>
      <c r="D6" s="294">
        <v>6500327.2302383799</v>
      </c>
      <c r="E6" s="294">
        <v>260727.90239159999</v>
      </c>
      <c r="F6" s="308">
        <f t="shared" ref="F6:F20" si="0">D6+E6</f>
        <v>6761055.1326299803</v>
      </c>
      <c r="G6" s="297"/>
      <c r="H6" s="297"/>
      <c r="I6" s="126"/>
      <c r="N6"/>
    </row>
    <row r="7" spans="1:18" x14ac:dyDescent="0.2">
      <c r="A7" s="21" t="s">
        <v>1319</v>
      </c>
      <c r="B7" s="305">
        <f>IFERROR(VLOOKUP(A7,'School Tables'!$C$3:$D$368,2,FALSE),"")</f>
        <v>21895</v>
      </c>
      <c r="C7" s="297" t="str">
        <f>IFERROR(INDEX('School Tables'!$B$3:$B$368,MATCH('School Level Expenditures'!B7,'School Tables'!$D$3:$D$368,0)),"")</f>
        <v>Nashua</v>
      </c>
      <c r="D7" s="294">
        <v>5722593.8727047797</v>
      </c>
      <c r="E7" s="294">
        <v>123722.305775</v>
      </c>
      <c r="F7" s="308">
        <f t="shared" si="0"/>
        <v>5846316.1784797795</v>
      </c>
      <c r="G7" s="297"/>
      <c r="H7" s="297"/>
      <c r="I7" s="126"/>
      <c r="N7"/>
    </row>
    <row r="8" spans="1:18" x14ac:dyDescent="0.2">
      <c r="A8" s="21" t="s">
        <v>1321</v>
      </c>
      <c r="B8" s="305">
        <f>IFERROR(VLOOKUP(A8,'School Tables'!$C$3:$D$368,2,FALSE),"")</f>
        <v>21925</v>
      </c>
      <c r="C8" s="297" t="str">
        <f>IFERROR(INDEX('School Tables'!$B$3:$B$368,MATCH('School Level Expenditures'!B8,'School Tables'!$D$3:$D$368,0)),"")</f>
        <v>Nashua</v>
      </c>
      <c r="D8" s="294">
        <v>5603392.0174527774</v>
      </c>
      <c r="E8" s="294">
        <v>326073.10498800006</v>
      </c>
      <c r="F8" s="308">
        <f t="shared" si="0"/>
        <v>5929465.1224407777</v>
      </c>
      <c r="G8" s="297"/>
      <c r="H8" s="297"/>
      <c r="I8" s="126"/>
      <c r="N8"/>
    </row>
    <row r="9" spans="1:18" x14ac:dyDescent="0.2">
      <c r="A9" s="21" t="s">
        <v>1322</v>
      </c>
      <c r="B9" s="305">
        <f>IFERROR(VLOOKUP(A9,'School Tables'!$C$3:$D$368,2,FALSE),"")</f>
        <v>21930</v>
      </c>
      <c r="C9" s="297" t="str">
        <f>IFERROR(INDEX('School Tables'!$B$3:$B$368,MATCH('School Level Expenditures'!B9,'School Tables'!$D$3:$D$368,0)),"")</f>
        <v>Nashua</v>
      </c>
      <c r="D9" s="294">
        <v>6048954.7047335813</v>
      </c>
      <c r="E9" s="294">
        <v>360229.05522780004</v>
      </c>
      <c r="F9" s="308">
        <f t="shared" si="0"/>
        <v>6409183.7599613816</v>
      </c>
      <c r="G9" s="297"/>
      <c r="H9" s="297"/>
      <c r="I9" s="126"/>
      <c r="N9"/>
    </row>
    <row r="10" spans="1:18" x14ac:dyDescent="0.2">
      <c r="A10" s="21" t="s">
        <v>1310</v>
      </c>
      <c r="B10" s="305">
        <f>IFERROR(VLOOKUP(A10,'School Tables'!$C$3:$D$368,2,FALSE),"")</f>
        <v>21835</v>
      </c>
      <c r="C10" s="297" t="str">
        <f>IFERROR(INDEX('School Tables'!$B$3:$B$368,MATCH('School Level Expenditures'!B10,'School Tables'!$D$3:$D$368,0)),"")</f>
        <v>Nashua</v>
      </c>
      <c r="D10" s="294">
        <v>5001527.0499559799</v>
      </c>
      <c r="E10" s="294">
        <v>782115.43817619979</v>
      </c>
      <c r="F10" s="308">
        <f t="shared" si="0"/>
        <v>5783642.4881321797</v>
      </c>
      <c r="G10" s="297"/>
      <c r="H10" s="297"/>
      <c r="I10" s="126"/>
      <c r="N10"/>
    </row>
    <row r="11" spans="1:18" x14ac:dyDescent="0.2">
      <c r="A11" s="21" t="s">
        <v>1311</v>
      </c>
      <c r="B11" s="305">
        <f>IFERROR(VLOOKUP(A11,'School Tables'!$C$3:$D$368,2,FALSE),"")</f>
        <v>21840</v>
      </c>
      <c r="C11" s="297" t="str">
        <f>IFERROR(INDEX('School Tables'!$B$3:$B$368,MATCH('School Level Expenditures'!B11,'School Tables'!$D$3:$D$368,0)),"")</f>
        <v>Nashua</v>
      </c>
      <c r="D11" s="294">
        <v>6105893.1319759833</v>
      </c>
      <c r="E11" s="294">
        <v>731459.7687442</v>
      </c>
      <c r="F11" s="308">
        <f t="shared" si="0"/>
        <v>6837352.9007201828</v>
      </c>
      <c r="G11" s="297"/>
      <c r="H11" s="297"/>
      <c r="I11" s="126"/>
      <c r="N11"/>
    </row>
    <row r="12" spans="1:18" x14ac:dyDescent="0.2">
      <c r="A12" s="21" t="s">
        <v>1320</v>
      </c>
      <c r="B12" s="305">
        <f>IFERROR(VLOOKUP(A12,'School Tables'!$C$3:$D$368,2,FALSE),"")</f>
        <v>21915</v>
      </c>
      <c r="C12" s="297" t="str">
        <f>IFERROR(INDEX('School Tables'!$B$3:$B$368,MATCH('School Level Expenditures'!B12,'School Tables'!$D$3:$D$368,0)),"")</f>
        <v>Nashua</v>
      </c>
      <c r="D12" s="294">
        <v>6040710.6891255807</v>
      </c>
      <c r="E12" s="294">
        <v>850163.87413579994</v>
      </c>
      <c r="F12" s="308">
        <f t="shared" si="0"/>
        <v>6890874.5632613804</v>
      </c>
      <c r="G12" s="297"/>
      <c r="H12" s="297"/>
      <c r="I12" s="126"/>
      <c r="N12"/>
    </row>
    <row r="13" spans="1:18" x14ac:dyDescent="0.2">
      <c r="A13" s="21" t="s">
        <v>1323</v>
      </c>
      <c r="B13" s="305">
        <f>IFERROR(VLOOKUP(A13,'School Tables'!$C$3:$D$368,2,FALSE),"")</f>
        <v>21935</v>
      </c>
      <c r="C13" s="297" t="str">
        <f>IFERROR(INDEX('School Tables'!$B$3:$B$368,MATCH('School Level Expenditures'!B13,'School Tables'!$D$3:$D$368,0)),"")</f>
        <v>Nashua</v>
      </c>
      <c r="D13" s="294">
        <v>6121265.0722119818</v>
      </c>
      <c r="E13" s="294">
        <v>298993.01027820003</v>
      </c>
      <c r="F13" s="308">
        <f t="shared" si="0"/>
        <v>6420258.0824901816</v>
      </c>
      <c r="G13" s="297"/>
      <c r="H13" s="297"/>
      <c r="I13" s="126"/>
      <c r="N13"/>
    </row>
    <row r="14" spans="1:18" x14ac:dyDescent="0.2">
      <c r="A14" s="21" t="s">
        <v>1317</v>
      </c>
      <c r="B14" s="305">
        <f>IFERROR(VLOOKUP(A14,'School Tables'!$C$3:$D$368,2,FALSE),"")</f>
        <v>21885</v>
      </c>
      <c r="C14" s="297" t="str">
        <f>IFERROR(INDEX('School Tables'!$B$3:$B$368,MATCH('School Level Expenditures'!B14,'School Tables'!$D$3:$D$368,0)),"")</f>
        <v>Nashua</v>
      </c>
      <c r="D14" s="294">
        <v>4420838.2673207801</v>
      </c>
      <c r="E14" s="294">
        <v>530728.47098900005</v>
      </c>
      <c r="F14" s="308">
        <f t="shared" si="0"/>
        <v>4951566.7383097801</v>
      </c>
      <c r="G14" s="297"/>
      <c r="H14" s="297"/>
      <c r="I14" s="126"/>
      <c r="N14"/>
    </row>
    <row r="15" spans="1:18" x14ac:dyDescent="0.2">
      <c r="A15" s="21" t="s">
        <v>1312</v>
      </c>
      <c r="B15" s="305">
        <f>IFERROR(VLOOKUP(A15,'School Tables'!$C$3:$D$368,2,FALSE),"")</f>
        <v>21845</v>
      </c>
      <c r="C15" s="297" t="str">
        <f>IFERROR(INDEX('School Tables'!$B$3:$B$368,MATCH('School Level Expenditures'!B15,'School Tables'!$D$3:$D$368,0)),"")</f>
        <v>Nashua</v>
      </c>
      <c r="D15" s="294">
        <v>5235113.3427303797</v>
      </c>
      <c r="E15" s="294">
        <v>426443.69836859993</v>
      </c>
      <c r="F15" s="308">
        <f t="shared" si="0"/>
        <v>5661557.0410989793</v>
      </c>
      <c r="G15" s="297"/>
      <c r="H15" s="297"/>
      <c r="I15" s="126"/>
      <c r="N15"/>
    </row>
    <row r="16" spans="1:18" x14ac:dyDescent="0.2">
      <c r="A16" s="21" t="s">
        <v>1313</v>
      </c>
      <c r="B16" s="305">
        <f>IFERROR(VLOOKUP(A16,'School Tables'!$C$3:$D$368,2,FALSE),"")</f>
        <v>21850</v>
      </c>
      <c r="C16" s="297" t="str">
        <f>IFERROR(INDEX('School Tables'!$B$3:$B$368,MATCH('School Level Expenditures'!B16,'School Tables'!$D$3:$D$368,0)),"")</f>
        <v>Nashua</v>
      </c>
      <c r="D16" s="294">
        <v>5780458.3071023822</v>
      </c>
      <c r="E16" s="294">
        <v>157468.37013559998</v>
      </c>
      <c r="F16" s="308">
        <f t="shared" si="0"/>
        <v>5937926.6772379819</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34292772.075602323</v>
      </c>
      <c r="G24" s="303">
        <f>'DOE25'!L229+'DOE25'!L309</f>
        <v>34292772.075602345</v>
      </c>
      <c r="H24" s="304">
        <f>F24-G24</f>
        <v>0</v>
      </c>
      <c r="I24" s="310" t="str">
        <f>IF(H24=0,"","Does not match DOE25 page 8 and 12 Totals!!")</f>
        <v/>
      </c>
      <c r="N24"/>
    </row>
    <row r="25" spans="1:14" x14ac:dyDescent="0.2">
      <c r="A25" s="21" t="s">
        <v>1318</v>
      </c>
      <c r="B25" s="305">
        <f>IFERROR(VLOOKUP(A25,'School Tables'!$I$3:$J$80,2,FALSE),"")</f>
        <v>21890</v>
      </c>
      <c r="C25" s="297" t="str">
        <f t="array" ref="C25">IFERROR(INDEX('School Tables'!$H$3:$H$80,MATCH('School Level Expenditures'!B25,'School Tables'!$J$3:$J$80,0)),"")</f>
        <v>Nashua</v>
      </c>
      <c r="D25" s="294">
        <v>14670340.681946641</v>
      </c>
      <c r="E25" s="294">
        <v>435156.1382326</v>
      </c>
      <c r="F25" s="308">
        <f>D25+E25</f>
        <v>15105496.820179241</v>
      </c>
      <c r="G25" s="297"/>
      <c r="H25" s="297"/>
      <c r="I25" s="126"/>
      <c r="N25"/>
    </row>
    <row r="26" spans="1:14" x14ac:dyDescent="0.2">
      <c r="A26" s="21" t="s">
        <v>1316</v>
      </c>
      <c r="B26" s="305">
        <f>IFERROR(VLOOKUP(A26,'School Tables'!$I$3:$J$80,2,FALSE),"")</f>
        <v>21875</v>
      </c>
      <c r="C26" s="297" t="str">
        <f t="array" ref="C26">IFERROR(INDEX('School Tables'!$H$3:$H$80,MATCH('School Level Expenditures'!B26,'School Tables'!$J$3:$J$80,0)),"")</f>
        <v>Nashua</v>
      </c>
      <c r="D26" s="294">
        <v>9694820.876085842</v>
      </c>
      <c r="E26" s="294">
        <v>290454.04172779998</v>
      </c>
      <c r="F26" s="308">
        <f t="shared" ref="F26:F32" si="1">D26+E26</f>
        <v>9985274.917813642</v>
      </c>
      <c r="G26" s="297"/>
      <c r="H26" s="297"/>
      <c r="I26" s="126"/>
      <c r="N26"/>
    </row>
    <row r="27" spans="1:14" x14ac:dyDescent="0.2">
      <c r="A27" s="21" t="s">
        <v>1309</v>
      </c>
      <c r="B27" s="305">
        <f>IFERROR(VLOOKUP(A27,'School Tables'!$I$3:$J$80,2,FALSE),"")</f>
        <v>21825</v>
      </c>
      <c r="C27" s="297" t="str">
        <f t="array" ref="C27">IFERROR(INDEX('School Tables'!$H$3:$H$80,MATCH('School Level Expenditures'!B27,'School Tables'!$J$3:$J$80,0)),"")</f>
        <v>Nashua</v>
      </c>
      <c r="D27" s="294">
        <v>8890517.0016402435</v>
      </c>
      <c r="E27" s="294">
        <v>311483.33596920001</v>
      </c>
      <c r="F27" s="308">
        <f t="shared" si="1"/>
        <v>9202000.3376094438</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51559469.830714911</v>
      </c>
      <c r="G36" s="303">
        <f>'DOE25'!L247+'DOE25'!L328</f>
        <v>51559469.830714911</v>
      </c>
      <c r="H36" s="304">
        <f>F36-G36</f>
        <v>0</v>
      </c>
      <c r="I36" s="310" t="str">
        <f>IF(H36=0,"","Does not match DOE25 page 9 and 13 Totals!!")</f>
        <v/>
      </c>
      <c r="N36"/>
    </row>
    <row r="37" spans="1:14" x14ac:dyDescent="0.2">
      <c r="A37" s="21" t="s">
        <v>1325</v>
      </c>
      <c r="B37" s="305">
        <f>IFERROR(VLOOKUP(A37,'School Tables'!$O$3:$P$122,2,FALSE),"")</f>
        <v>27960</v>
      </c>
      <c r="C37" s="297" t="str">
        <f t="array" ref="C37">IFERROR(INDEX('School Tables'!$N$3:$N$122,MATCH('School Level Expenditures'!B37,'School Tables'!$P$3:$P$122,0)),"")</f>
        <v>Nashua</v>
      </c>
      <c r="D37" s="294">
        <v>23664933.058738153</v>
      </c>
      <c r="E37" s="294">
        <v>1165961.2636443998</v>
      </c>
      <c r="F37" s="308">
        <f>D37+E37</f>
        <v>24830894.322382554</v>
      </c>
      <c r="G37" s="297"/>
      <c r="H37" s="297"/>
      <c r="I37" s="126"/>
      <c r="N37"/>
    </row>
    <row r="38" spans="1:14" x14ac:dyDescent="0.2">
      <c r="A38" s="21" t="s">
        <v>1314</v>
      </c>
      <c r="B38" s="305">
        <f>IFERROR(VLOOKUP(A38,'School Tables'!$O$3:$P$122,2,FALSE),"")</f>
        <v>21860</v>
      </c>
      <c r="C38" s="297" t="str">
        <f t="array" ref="C38">IFERROR(INDEX('School Tables'!$N$3:$N$122,MATCH('School Level Expenditures'!B38,'School Tables'!$P$3:$P$122,0)),"")</f>
        <v>Nashua</v>
      </c>
      <c r="D38" s="294">
        <v>25870903.873204555</v>
      </c>
      <c r="E38" s="294">
        <v>857671.63512779993</v>
      </c>
      <c r="F38" s="308">
        <f t="shared" ref="F38:F41" si="2">D38+E38</f>
        <v>26728575.508332357</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NASHUA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2332997.46</v>
      </c>
      <c r="H8" s="124"/>
      <c r="I8" s="124"/>
    </row>
    <row r="9" spans="1:9" x14ac:dyDescent="0.2">
      <c r="A9" s="1" t="s">
        <v>140</v>
      </c>
      <c r="B9" s="6">
        <v>110</v>
      </c>
      <c r="C9" s="95">
        <f>'DOE25'!F10</f>
        <v>0</v>
      </c>
      <c r="D9" s="95">
        <f>'DOE25'!G10</f>
        <v>0</v>
      </c>
      <c r="E9" s="95">
        <f>'DOE25'!H10</f>
        <v>0</v>
      </c>
      <c r="F9" s="95">
        <f>'DOE25'!I10</f>
        <v>0</v>
      </c>
      <c r="G9" s="95">
        <f>'DOE25'!J10</f>
        <v>6530384.5300000003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648209.82999999996</v>
      </c>
      <c r="E11" s="95">
        <f>'DOE25'!H12</f>
        <v>0</v>
      </c>
      <c r="F11" s="95">
        <f>'DOE25'!I12</f>
        <v>0</v>
      </c>
      <c r="G11" s="95">
        <f>'DOE25'!J12</f>
        <v>0</v>
      </c>
      <c r="H11" s="124"/>
      <c r="I11" s="124"/>
    </row>
    <row r="12" spans="1:9" x14ac:dyDescent="0.2">
      <c r="A12" s="1" t="s">
        <v>143</v>
      </c>
      <c r="B12" s="6">
        <v>140</v>
      </c>
      <c r="C12" s="95">
        <f>'DOE25'!F13</f>
        <v>0</v>
      </c>
      <c r="D12" s="95">
        <f>'DOE25'!G13</f>
        <v>168261.77</v>
      </c>
      <c r="E12" s="95">
        <f>'DOE25'!H13</f>
        <v>3056286.43</v>
      </c>
      <c r="F12" s="95">
        <f>'DOE25'!I13</f>
        <v>0</v>
      </c>
      <c r="G12" s="95">
        <f>'DOE25'!J13</f>
        <v>0</v>
      </c>
      <c r="H12" s="124"/>
      <c r="I12" s="124"/>
    </row>
    <row r="13" spans="1:9" x14ac:dyDescent="0.2">
      <c r="A13" s="1" t="s">
        <v>144</v>
      </c>
      <c r="B13" s="6">
        <v>150</v>
      </c>
      <c r="C13" s="95">
        <f>'DOE25'!F14</f>
        <v>0</v>
      </c>
      <c r="D13" s="95">
        <f>'DOE25'!G14</f>
        <v>0</v>
      </c>
      <c r="E13" s="95">
        <f>'DOE25'!H14</f>
        <v>5607.5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816471.6</v>
      </c>
      <c r="E18" s="41">
        <f>SUM(E8:E17)</f>
        <v>3061893.93</v>
      </c>
      <c r="F18" s="41">
        <f>SUM(F8:F17)</f>
        <v>0</v>
      </c>
      <c r="G18" s="41">
        <f>SUM(G8:G17)</f>
        <v>8863381.9900000002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1338661.46</v>
      </c>
      <c r="F21" s="95">
        <f>'DOE25'!I22</f>
        <v>2347.36</v>
      </c>
      <c r="G21" s="95">
        <f>'DOE25'!J22</f>
        <v>158295.57999999999</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563.30999999999995</v>
      </c>
      <c r="E23" s="95">
        <f>'DOE25'!H24</f>
        <v>293982.90000000002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14478.64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563.30999999999995</v>
      </c>
      <c r="E31" s="41">
        <f>SUM(E21:E30)</f>
        <v>1647122.9999999998</v>
      </c>
      <c r="F31" s="41">
        <f>SUM(F21:F30)</f>
        <v>2347.36</v>
      </c>
      <c r="G31" s="41">
        <f>SUM(G21:G30)</f>
        <v>158295.57999999999</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6089844.2300000004</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383848.43</v>
      </c>
      <c r="H38" s="124"/>
      <c r="I38" s="124"/>
    </row>
    <row r="39" spans="1:9" x14ac:dyDescent="0.2">
      <c r="A39" s="1" t="s">
        <v>861</v>
      </c>
      <c r="B39" s="6"/>
      <c r="C39" s="24" t="s">
        <v>288</v>
      </c>
      <c r="D39" s="95">
        <f>'DOE25'!G40</f>
        <v>812129.86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1305739.74</v>
      </c>
      <c r="F47" s="95">
        <f>'DOE25'!I48</f>
        <v>-352192</v>
      </c>
      <c r="G47" s="95">
        <f>'DOE25'!J48</f>
        <v>2227561.75</v>
      </c>
      <c r="H47" s="124"/>
      <c r="I47" s="124"/>
    </row>
    <row r="48" spans="1:9" x14ac:dyDescent="0.2">
      <c r="A48" s="1" t="s">
        <v>882</v>
      </c>
      <c r="B48" s="6">
        <v>753</v>
      </c>
      <c r="C48" s="95">
        <f>'DOE25'!F49</f>
        <v>0</v>
      </c>
      <c r="D48" s="95">
        <f>'DOE25'!G49</f>
        <v>3778.43</v>
      </c>
      <c r="E48" s="95">
        <f>'DOE25'!H49</f>
        <v>109031.19</v>
      </c>
      <c r="F48" s="95">
        <f>'DOE25'!I49</f>
        <v>349844.64</v>
      </c>
      <c r="G48" s="95">
        <f>'DOE25'!J49</f>
        <v>3832</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815908.29</v>
      </c>
      <c r="E50" s="41">
        <f>SUM(E34:E49)</f>
        <v>1414770.93</v>
      </c>
      <c r="F50" s="41">
        <f>SUM(F34:F49)</f>
        <v>-2347.359999999986</v>
      </c>
      <c r="G50" s="41">
        <f>SUM(G34:G49)</f>
        <v>8705086.4100000001</v>
      </c>
      <c r="H50" s="124"/>
      <c r="I50" s="124"/>
    </row>
    <row r="51" spans="1:9" ht="12" thickTop="1" x14ac:dyDescent="0.2">
      <c r="A51" s="38" t="s">
        <v>885</v>
      </c>
      <c r="B51" s="2"/>
      <c r="C51" s="41">
        <f>C50+C31</f>
        <v>0</v>
      </c>
      <c r="D51" s="41">
        <f>D50+D31</f>
        <v>816471.60000000009</v>
      </c>
      <c r="E51" s="41">
        <f>E50+E31</f>
        <v>3061893.9299999997</v>
      </c>
      <c r="F51" s="41">
        <f>F50+F31</f>
        <v>1.4097167877480388E-11</v>
      </c>
      <c r="G51" s="41">
        <f>G50+G31</f>
        <v>8863381.9900000002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97582967.590000004</v>
      </c>
      <c r="D56" s="95">
        <f>'DOE25'!G60</f>
        <v>0</v>
      </c>
      <c r="E56" s="95">
        <f>'DOE25'!H60</f>
        <v>0</v>
      </c>
      <c r="F56" s="95">
        <f>'DOE25'!I60</f>
        <v>0</v>
      </c>
      <c r="G56" s="95">
        <f>'DOE25'!J60</f>
        <v>0</v>
      </c>
      <c r="H56"/>
      <c r="I56"/>
    </row>
    <row r="57" spans="1:9" x14ac:dyDescent="0.2">
      <c r="A57" s="1" t="s">
        <v>164</v>
      </c>
      <c r="B57" s="6" t="s">
        <v>165</v>
      </c>
      <c r="C57" s="95">
        <f>'DOE25'!F79</f>
        <v>4333.3100000000004</v>
      </c>
      <c r="D57" s="24" t="s">
        <v>288</v>
      </c>
      <c r="E57" s="95">
        <f>'DOE25'!H79</f>
        <v>778524.02</v>
      </c>
      <c r="F57" s="24" t="s">
        <v>288</v>
      </c>
      <c r="G57" s="24" t="s">
        <v>288</v>
      </c>
      <c r="H57"/>
      <c r="I57"/>
    </row>
    <row r="58" spans="1:9" x14ac:dyDescent="0.2">
      <c r="A58" s="1" t="s">
        <v>166</v>
      </c>
      <c r="B58" s="6" t="s">
        <v>167</v>
      </c>
      <c r="C58" s="95">
        <f>'DOE25'!F94</f>
        <v>81540.5</v>
      </c>
      <c r="D58" s="24" t="s">
        <v>288</v>
      </c>
      <c r="E58" s="95">
        <f>'DOE25'!H94</f>
        <v>0</v>
      </c>
      <c r="F58" s="24" t="s">
        <v>288</v>
      </c>
      <c r="G58" s="24" t="s">
        <v>288</v>
      </c>
      <c r="H58"/>
      <c r="I58"/>
    </row>
    <row r="59" spans="1:9" x14ac:dyDescent="0.2">
      <c r="A59" s="69" t="s">
        <v>168</v>
      </c>
      <c r="B59" s="37" t="s">
        <v>169</v>
      </c>
      <c r="C59" s="95">
        <f>'DOE25'!F96</f>
        <v>0</v>
      </c>
      <c r="D59" s="95">
        <f>'DOE25'!G96</f>
        <v>10801.1</v>
      </c>
      <c r="E59" s="95">
        <f>'DOE25'!H96</f>
        <v>0</v>
      </c>
      <c r="F59" s="95">
        <f>'DOE25'!I96</f>
        <v>0</v>
      </c>
      <c r="G59" s="95">
        <f>'DOE25'!J96</f>
        <v>560842.80999999994</v>
      </c>
      <c r="H59"/>
      <c r="I59"/>
    </row>
    <row r="60" spans="1:9" x14ac:dyDescent="0.2">
      <c r="A60" s="1" t="s">
        <v>170</v>
      </c>
      <c r="B60" s="118" t="s">
        <v>171</v>
      </c>
      <c r="C60" s="24" t="s">
        <v>288</v>
      </c>
      <c r="D60" s="95">
        <f>'DOE25'!G97</f>
        <v>1920146.36</v>
      </c>
      <c r="E60" s="24" t="s">
        <v>288</v>
      </c>
      <c r="F60" s="24" t="s">
        <v>288</v>
      </c>
      <c r="G60" s="24" t="s">
        <v>288</v>
      </c>
      <c r="H60"/>
      <c r="I60"/>
    </row>
    <row r="61" spans="1:9" ht="12" thickBot="1" x14ac:dyDescent="0.25">
      <c r="A61" s="1" t="s">
        <v>172</v>
      </c>
      <c r="B61" s="118" t="s">
        <v>173</v>
      </c>
      <c r="C61" s="95">
        <f>SUM('DOE25'!F98:F110)</f>
        <v>51080.24</v>
      </c>
      <c r="D61" s="95">
        <f>SUM('DOE25'!G98:G110)</f>
        <v>0</v>
      </c>
      <c r="E61" s="95">
        <f>SUM('DOE25'!H98:H110)</f>
        <v>485429.06</v>
      </c>
      <c r="F61" s="95">
        <f>SUM('DOE25'!I98:I110)</f>
        <v>118740.96</v>
      </c>
      <c r="G61" s="95">
        <f>SUM('DOE25'!J98:J110)</f>
        <v>532209.18000000005</v>
      </c>
      <c r="H61"/>
      <c r="I61"/>
    </row>
    <row r="62" spans="1:9" ht="12.75" thickTop="1" thickBot="1" x14ac:dyDescent="0.25">
      <c r="A62" s="29" t="s">
        <v>174</v>
      </c>
      <c r="B62" s="6"/>
      <c r="C62" s="130">
        <f>SUM(C57:C61)</f>
        <v>136954.04999999999</v>
      </c>
      <c r="D62" s="130">
        <f>SUM(D57:D61)</f>
        <v>1930947.4600000002</v>
      </c>
      <c r="E62" s="130">
        <f>SUM(E57:E61)</f>
        <v>1263953.08</v>
      </c>
      <c r="F62" s="130">
        <f>SUM(F57:F61)</f>
        <v>118740.96</v>
      </c>
      <c r="G62" s="130">
        <f>SUM(G57:G61)</f>
        <v>1093051.99</v>
      </c>
      <c r="H62"/>
      <c r="I62"/>
    </row>
    <row r="63" spans="1:9" ht="12" thickTop="1" x14ac:dyDescent="0.2">
      <c r="A63" s="29" t="s">
        <v>175</v>
      </c>
      <c r="B63" s="6"/>
      <c r="C63" s="22">
        <f>C56+C62</f>
        <v>97719921.640000001</v>
      </c>
      <c r="D63" s="22">
        <f>D56+D62</f>
        <v>1930947.4600000002</v>
      </c>
      <c r="E63" s="22">
        <f>E56+E62</f>
        <v>1263953.08</v>
      </c>
      <c r="F63" s="22">
        <f>F56+F62</f>
        <v>118740.96</v>
      </c>
      <c r="G63" s="22">
        <f>G56+G62</f>
        <v>1093051.99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34790832.890000001</v>
      </c>
      <c r="D66" s="24" t="s">
        <v>288</v>
      </c>
      <c r="E66" s="24" t="s">
        <v>288</v>
      </c>
      <c r="F66" s="24" t="s">
        <v>288</v>
      </c>
      <c r="G66" s="24" t="s">
        <v>288</v>
      </c>
      <c r="H66"/>
      <c r="I66"/>
    </row>
    <row r="67" spans="1:9" x14ac:dyDescent="0.2">
      <c r="A67" s="1" t="s">
        <v>770</v>
      </c>
      <c r="B67" s="6">
        <v>3112</v>
      </c>
      <c r="C67" s="95">
        <f>'DOE25'!F118</f>
        <v>20371844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39456.68</v>
      </c>
      <c r="D69" s="95">
        <f>'DOE25'!G120</f>
        <v>0</v>
      </c>
      <c r="E69" s="95">
        <f>'DOE25'!H120</f>
        <v>0</v>
      </c>
      <c r="F69" s="95">
        <f>'DOE25'!I120</f>
        <v>0</v>
      </c>
      <c r="G69" s="95">
        <f>'DOE25'!J120</f>
        <v>0</v>
      </c>
      <c r="H69"/>
      <c r="I69"/>
    </row>
    <row r="70" spans="1:9" ht="12" thickTop="1" x14ac:dyDescent="0.2">
      <c r="A70" s="29" t="s">
        <v>252</v>
      </c>
      <c r="B70" s="2"/>
      <c r="C70" s="139">
        <f>SUM(C66:C69)</f>
        <v>55202133.57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2281549.02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830275.93</v>
      </c>
      <c r="D74" s="24"/>
      <c r="E74" s="24"/>
      <c r="F74" s="24"/>
      <c r="G74" s="24"/>
      <c r="H74"/>
      <c r="I74"/>
    </row>
    <row r="75" spans="1:9" x14ac:dyDescent="0.2">
      <c r="A75" s="1" t="s">
        <v>256</v>
      </c>
      <c r="B75" s="6">
        <v>3230</v>
      </c>
      <c r="C75" s="95">
        <f>'DOE25'!F126</f>
        <v>684567.48</v>
      </c>
      <c r="D75" s="24" t="s">
        <v>288</v>
      </c>
      <c r="E75" s="24" t="s">
        <v>288</v>
      </c>
      <c r="F75" s="24" t="s">
        <v>288</v>
      </c>
      <c r="G75" s="24" t="s">
        <v>288</v>
      </c>
      <c r="H75"/>
      <c r="I75"/>
    </row>
    <row r="76" spans="1:9" x14ac:dyDescent="0.2">
      <c r="A76" s="1" t="s">
        <v>257</v>
      </c>
      <c r="B76" s="6" t="s">
        <v>179</v>
      </c>
      <c r="C76" s="95">
        <f>SUM('DOE25'!F127:F130)</f>
        <v>196978.73</v>
      </c>
      <c r="D76" s="24" t="s">
        <v>288</v>
      </c>
      <c r="E76" s="95">
        <f>SUM('DOE25'!H127:H130)</f>
        <v>4230.8900000000003</v>
      </c>
      <c r="F76" s="95">
        <f>SUM('DOE25'!I127:I130)</f>
        <v>0</v>
      </c>
      <c r="G76" s="24" t="s">
        <v>288</v>
      </c>
      <c r="H76"/>
      <c r="I76"/>
    </row>
    <row r="77" spans="1:9" ht="12" thickBot="1" x14ac:dyDescent="0.25">
      <c r="A77" s="1" t="s">
        <v>258</v>
      </c>
      <c r="B77" s="6" t="s">
        <v>180</v>
      </c>
      <c r="C77" s="95">
        <f>SUM('DOE25'!F131:F135)</f>
        <v>0</v>
      </c>
      <c r="D77" s="95">
        <f>SUM('DOE25'!G131:G135)</f>
        <v>78121.37</v>
      </c>
      <c r="E77" s="95">
        <f>SUM('DOE25'!H131:H135)</f>
        <v>602820.99</v>
      </c>
      <c r="F77" s="95">
        <f>SUM('DOE25'!I131:I135)</f>
        <v>0</v>
      </c>
      <c r="G77" s="95">
        <f>SUM('DOE25'!J131:J135)</f>
        <v>0</v>
      </c>
      <c r="H77"/>
      <c r="I77"/>
    </row>
    <row r="78" spans="1:9" ht="12.75" thickTop="1" thickBot="1" x14ac:dyDescent="0.25">
      <c r="A78" s="29" t="s">
        <v>259</v>
      </c>
      <c r="B78" s="6"/>
      <c r="C78" s="130">
        <f>SUM(C72:C77)</f>
        <v>3993371.16</v>
      </c>
      <c r="D78" s="130">
        <f>SUM(D72:D77)</f>
        <v>78121.37</v>
      </c>
      <c r="E78" s="130">
        <f>SUM(E72:E77)</f>
        <v>607051.88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59195504.730000004</v>
      </c>
      <c r="D81" s="130">
        <f>SUM(D79:D80)+D78+D70</f>
        <v>78121.37</v>
      </c>
      <c r="E81" s="130">
        <f>SUM(E79:E80)+E78+E70</f>
        <v>607051.88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112.5</v>
      </c>
      <c r="F87" s="95">
        <f>SUM('DOE25'!I149:I152)</f>
        <v>0</v>
      </c>
      <c r="G87" s="24" t="s">
        <v>288</v>
      </c>
    </row>
    <row r="88" spans="1:9" x14ac:dyDescent="0.2">
      <c r="A88" t="s">
        <v>747</v>
      </c>
      <c r="B88" s="32" t="s">
        <v>184</v>
      </c>
      <c r="C88" s="95">
        <f>SUM('DOE25'!F153:F161)</f>
        <v>2497688.63</v>
      </c>
      <c r="D88" s="95">
        <f>SUM('DOE25'!G153:G161)</f>
        <v>2952608.71</v>
      </c>
      <c r="E88" s="95">
        <f>SUM('DOE25'!H153:H161)</f>
        <v>8455302.4000000004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2497688.63</v>
      </c>
      <c r="D91" s="131">
        <f>SUM(D85:D90)</f>
        <v>2952608.71</v>
      </c>
      <c r="E91" s="131">
        <f>SUM(E85:E90)</f>
        <v>8455414.9000000004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1200000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30921.65</v>
      </c>
      <c r="F96" s="95">
        <f>'DOE25'!I179</f>
        <v>0</v>
      </c>
      <c r="G96" s="95">
        <f>'DOE25'!J179</f>
        <v>250250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46975.57</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100000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100000</v>
      </c>
      <c r="D103" s="86">
        <f>SUM(D93:D102)</f>
        <v>0</v>
      </c>
      <c r="E103" s="86">
        <f>SUM(E93:E102)</f>
        <v>30921.65</v>
      </c>
      <c r="F103" s="86">
        <f>SUM(F93:F102)</f>
        <v>1200000</v>
      </c>
      <c r="G103" s="86">
        <f>SUM(G93:G102)</f>
        <v>297225.57</v>
      </c>
    </row>
    <row r="104" spans="1:7" ht="12.75" thickTop="1" thickBot="1" x14ac:dyDescent="0.25">
      <c r="A104" s="33" t="s">
        <v>761</v>
      </c>
      <c r="C104" s="86">
        <f>C63+C81+C91+C103</f>
        <v>159513115</v>
      </c>
      <c r="D104" s="86">
        <f>D63+D81+D91+D103</f>
        <v>4961677.54</v>
      </c>
      <c r="E104" s="86">
        <f>E63+E81+E91+E103</f>
        <v>10357341.51</v>
      </c>
      <c r="F104" s="86">
        <f>F63+F81+F91+F103</f>
        <v>1318740.96</v>
      </c>
      <c r="G104" s="86">
        <f>G63+G81+G103</f>
        <v>1390277.56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61416834.820000023</v>
      </c>
      <c r="D109" s="24" t="s">
        <v>288</v>
      </c>
      <c r="E109" s="95">
        <f>('DOE25'!L276)+('DOE25'!L295)+('DOE25'!L314)</f>
        <v>350008.94</v>
      </c>
      <c r="F109" s="24" t="s">
        <v>288</v>
      </c>
      <c r="G109" s="24" t="s">
        <v>288</v>
      </c>
    </row>
    <row r="110" spans="1:7" x14ac:dyDescent="0.2">
      <c r="A110" t="s">
        <v>198</v>
      </c>
      <c r="B110" s="32" t="s">
        <v>199</v>
      </c>
      <c r="C110" s="95">
        <f>('DOE25'!L198)+('DOE25'!L216)+('DOE25'!L234)</f>
        <v>28031635.239999998</v>
      </c>
      <c r="D110" s="24" t="s">
        <v>288</v>
      </c>
      <c r="E110" s="95">
        <f>('DOE25'!L277)+('DOE25'!L296)+('DOE25'!L315)</f>
        <v>5292159.12</v>
      </c>
      <c r="F110" s="24" t="s">
        <v>288</v>
      </c>
      <c r="G110" s="24" t="s">
        <v>288</v>
      </c>
    </row>
    <row r="111" spans="1:7" x14ac:dyDescent="0.2">
      <c r="A111" t="s">
        <v>200</v>
      </c>
      <c r="B111" s="32" t="s">
        <v>165</v>
      </c>
      <c r="C111" s="95">
        <f>('DOE25'!L199)+('DOE25'!L217)+('DOE25'!L235)</f>
        <v>5401470.4800000004</v>
      </c>
      <c r="D111" s="24" t="s">
        <v>288</v>
      </c>
      <c r="E111" s="95">
        <f>('DOE25'!L278)+('DOE25'!L297)+('DOE25'!L316)</f>
        <v>329351.8</v>
      </c>
      <c r="F111" s="24" t="s">
        <v>288</v>
      </c>
      <c r="G111" s="24" t="s">
        <v>288</v>
      </c>
    </row>
    <row r="112" spans="1:7" x14ac:dyDescent="0.2">
      <c r="A112" t="s">
        <v>201</v>
      </c>
      <c r="B112" s="32" t="s">
        <v>167</v>
      </c>
      <c r="C112" s="95">
        <f>('DOE25'!L200)+('DOE25'!L218)+('DOE25'!L236)</f>
        <v>1025363.52</v>
      </c>
      <c r="D112" s="24" t="s">
        <v>288</v>
      </c>
      <c r="E112" s="95">
        <f>+('DOE25'!L279)+('DOE25'!L298)+('DOE25'!L317)</f>
        <v>1068066.1400000001</v>
      </c>
      <c r="F112" s="24" t="s">
        <v>288</v>
      </c>
      <c r="G112" s="24" t="s">
        <v>288</v>
      </c>
    </row>
    <row r="113" spans="1:7" x14ac:dyDescent="0.2">
      <c r="A113" t="s">
        <v>202</v>
      </c>
      <c r="B113" s="32" t="s">
        <v>169</v>
      </c>
      <c r="C113" s="95">
        <f>'DOE25'!L250</f>
        <v>0</v>
      </c>
      <c r="D113" s="24" t="s">
        <v>288</v>
      </c>
      <c r="E113" s="95">
        <f>+'DOE25'!L332</f>
        <v>72672.33</v>
      </c>
      <c r="F113" s="24" t="s">
        <v>288</v>
      </c>
      <c r="G113" s="24" t="s">
        <v>288</v>
      </c>
    </row>
    <row r="114" spans="1:7" ht="12" thickBot="1" x14ac:dyDescent="0.25">
      <c r="A114" t="s">
        <v>203</v>
      </c>
      <c r="B114" s="32" t="s">
        <v>204</v>
      </c>
      <c r="C114" s="95">
        <f>SUM('DOE25'!L251:L253)</f>
        <v>132882.14000000001</v>
      </c>
      <c r="D114" s="24" t="s">
        <v>288</v>
      </c>
      <c r="E114" s="95">
        <f>+ SUM('DOE25'!L333:L335)</f>
        <v>282240.03999999998</v>
      </c>
      <c r="F114" s="24" t="s">
        <v>288</v>
      </c>
      <c r="G114" s="24" t="s">
        <v>288</v>
      </c>
    </row>
    <row r="115" spans="1:7" ht="12.75" thickTop="1" thickBot="1" x14ac:dyDescent="0.25">
      <c r="A115" s="33" t="s">
        <v>205</v>
      </c>
      <c r="C115" s="86">
        <f>SUM(C109:C114)</f>
        <v>96008186.200000018</v>
      </c>
      <c r="D115" s="86">
        <f>SUM(D109:D114)</f>
        <v>0</v>
      </c>
      <c r="E115" s="86">
        <f>SUM(E109:E114)</f>
        <v>7394498.3700000001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13349412.950000001</v>
      </c>
      <c r="D118" s="24" t="s">
        <v>288</v>
      </c>
      <c r="E118" s="95">
        <f>+('DOE25'!L281)+('DOE25'!L300)+('DOE25'!L319)</f>
        <v>635323.25</v>
      </c>
      <c r="F118" s="24" t="s">
        <v>288</v>
      </c>
      <c r="G118" s="24" t="s">
        <v>288</v>
      </c>
    </row>
    <row r="119" spans="1:7" x14ac:dyDescent="0.2">
      <c r="A119" t="s">
        <v>208</v>
      </c>
      <c r="B119" s="32" t="s">
        <v>209</v>
      </c>
      <c r="C119" s="95">
        <f>('DOE25'!L203)+('DOE25'!L221)+('DOE25'!L239)</f>
        <v>5407166.6099999994</v>
      </c>
      <c r="D119" s="24" t="s">
        <v>288</v>
      </c>
      <c r="E119" s="95">
        <f>+('DOE25'!L282)+('DOE25'!L301)+('DOE25'!L320)</f>
        <v>1088741.2199999997</v>
      </c>
      <c r="F119" s="24" t="s">
        <v>288</v>
      </c>
      <c r="G119" s="24" t="s">
        <v>288</v>
      </c>
    </row>
    <row r="120" spans="1:7" x14ac:dyDescent="0.2">
      <c r="A120" t="s">
        <v>210</v>
      </c>
      <c r="B120" s="32" t="s">
        <v>211</v>
      </c>
      <c r="C120" s="95">
        <f>('DOE25'!L204)+('DOE25'!L222)+('DOE25'!L240)</f>
        <v>3329456.12</v>
      </c>
      <c r="D120" s="24" t="s">
        <v>288</v>
      </c>
      <c r="E120" s="95">
        <f>+('DOE25'!L283)+('DOE25'!L302)+('DOE25'!L321)</f>
        <v>0</v>
      </c>
      <c r="F120" s="24" t="s">
        <v>288</v>
      </c>
      <c r="G120" s="24" t="s">
        <v>288</v>
      </c>
    </row>
    <row r="121" spans="1:7" x14ac:dyDescent="0.2">
      <c r="A121" t="s">
        <v>212</v>
      </c>
      <c r="B121" s="32" t="s">
        <v>213</v>
      </c>
      <c r="C121" s="95">
        <f>('DOE25'!L205)+('DOE25'!L223)+('DOE25'!L241)</f>
        <v>7319311.1299999999</v>
      </c>
      <c r="D121" s="24" t="s">
        <v>288</v>
      </c>
      <c r="E121" s="95">
        <f>+('DOE25'!L284)+('DOE25'!L303)+('DOE25'!L322)</f>
        <v>163630.46000000002</v>
      </c>
      <c r="F121" s="24" t="s">
        <v>288</v>
      </c>
      <c r="G121" s="24" t="s">
        <v>288</v>
      </c>
    </row>
    <row r="122" spans="1:7" x14ac:dyDescent="0.2">
      <c r="A122" t="s">
        <v>214</v>
      </c>
      <c r="B122" s="32" t="s">
        <v>215</v>
      </c>
      <c r="C122" s="95">
        <f>('DOE25'!L206)+('DOE25'!L224)+('DOE25'!L242)</f>
        <v>1129147.3399999999</v>
      </c>
      <c r="D122" s="24" t="s">
        <v>288</v>
      </c>
      <c r="E122" s="95">
        <f>+('DOE25'!L285)+('DOE25'!L304)+('DOE25'!L323)</f>
        <v>204333.14</v>
      </c>
      <c r="F122" s="24" t="s">
        <v>288</v>
      </c>
      <c r="G122" s="24" t="s">
        <v>288</v>
      </c>
    </row>
    <row r="123" spans="1:7" x14ac:dyDescent="0.2">
      <c r="A123" t="s">
        <v>216</v>
      </c>
      <c r="B123" s="32" t="s">
        <v>217</v>
      </c>
      <c r="C123" s="95">
        <f>('DOE25'!L207)+('DOE25'!L225)+('DOE25'!L243)</f>
        <v>14502479.800000001</v>
      </c>
      <c r="D123" s="24" t="s">
        <v>288</v>
      </c>
      <c r="E123" s="95">
        <f>+('DOE25'!L286)+('DOE25'!L305)+('DOE25'!L324)</f>
        <v>598259.87</v>
      </c>
      <c r="F123" s="24" t="s">
        <v>288</v>
      </c>
      <c r="G123" s="24" t="s">
        <v>288</v>
      </c>
    </row>
    <row r="124" spans="1:7" x14ac:dyDescent="0.2">
      <c r="A124" t="s">
        <v>218</v>
      </c>
      <c r="B124" s="32" t="s">
        <v>219</v>
      </c>
      <c r="C124" s="95">
        <f>('DOE25'!L208)+('DOE25'!L226)+('DOE25'!L244+'DOE25'!L254)</f>
        <v>7288533.1100000003</v>
      </c>
      <c r="D124" s="24" t="s">
        <v>288</v>
      </c>
      <c r="E124" s="95">
        <f>+('DOE25'!L287)+('DOE25'!L306)+('DOE25'!L325)</f>
        <v>29490.43</v>
      </c>
      <c r="F124" s="24" t="s">
        <v>288</v>
      </c>
      <c r="G124" s="24" t="s">
        <v>288</v>
      </c>
    </row>
    <row r="125" spans="1:7" x14ac:dyDescent="0.2">
      <c r="A125" t="s">
        <v>220</v>
      </c>
      <c r="B125" s="32" t="s">
        <v>221</v>
      </c>
      <c r="C125" s="95">
        <f>('DOE25'!L209)+('DOE25'!L227)+('DOE25'!L245)</f>
        <v>618360.85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4791851.71</v>
      </c>
      <c r="E127" s="24" t="s">
        <v>288</v>
      </c>
      <c r="F127" s="24" t="s">
        <v>288</v>
      </c>
      <c r="G127" s="24" t="s">
        <v>288</v>
      </c>
    </row>
    <row r="128" spans="1:7" ht="12.75" thickTop="1" thickBot="1" x14ac:dyDescent="0.25">
      <c r="A128" s="33" t="s">
        <v>226</v>
      </c>
      <c r="C128" s="86">
        <f>SUM(C118:C127)</f>
        <v>52943867.910000004</v>
      </c>
      <c r="D128" s="86">
        <f>SUM(D118:D127)</f>
        <v>4791851.71</v>
      </c>
      <c r="E128" s="86">
        <f>SUM(E118:E127)</f>
        <v>2719778.37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175419.09</v>
      </c>
      <c r="D130" s="24" t="s">
        <v>288</v>
      </c>
      <c r="E130" s="129">
        <f>'DOE25'!L336</f>
        <v>0</v>
      </c>
      <c r="F130" s="129">
        <f>SUM('DOE25'!L374:'DOE25'!L380)</f>
        <v>1197187.3600000001</v>
      </c>
      <c r="G130" s="24" t="s">
        <v>288</v>
      </c>
    </row>
    <row r="131" spans="1:7" x14ac:dyDescent="0.2">
      <c r="A131" t="s">
        <v>229</v>
      </c>
      <c r="B131" s="32">
        <v>5110</v>
      </c>
      <c r="C131" s="95">
        <f>'DOE25'!L260</f>
        <v>7973500</v>
      </c>
      <c r="D131" s="24" t="s">
        <v>288</v>
      </c>
      <c r="E131" s="129">
        <f>'DOE25'!L341</f>
        <v>0</v>
      </c>
      <c r="F131" s="24" t="s">
        <v>288</v>
      </c>
      <c r="G131" s="24" t="s">
        <v>288</v>
      </c>
    </row>
    <row r="132" spans="1:7" x14ac:dyDescent="0.2">
      <c r="A132" t="s">
        <v>230</v>
      </c>
      <c r="B132" s="32">
        <v>5120</v>
      </c>
      <c r="C132" s="95">
        <f>'DOE25'!L261</f>
        <v>2130970.15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46975.57</v>
      </c>
      <c r="G134" s="95">
        <f>'DOE25'!K434</f>
        <v>100000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30921.65</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68540.44</v>
      </c>
      <c r="D138" s="24" t="s">
        <v>288</v>
      </c>
      <c r="E138" s="24" t="s">
        <v>288</v>
      </c>
      <c r="F138" s="24" t="s">
        <v>288</v>
      </c>
      <c r="G138" s="24" t="s">
        <v>288</v>
      </c>
    </row>
    <row r="139" spans="1:7" x14ac:dyDescent="0.2">
      <c r="A139" t="s">
        <v>239</v>
      </c>
      <c r="B139" s="32">
        <v>5252</v>
      </c>
      <c r="C139" s="95">
        <f>'DOE25'!L401</f>
        <v>758261.84000000008</v>
      </c>
      <c r="D139" s="24" t="s">
        <v>288</v>
      </c>
      <c r="E139" s="24" t="s">
        <v>288</v>
      </c>
      <c r="F139" s="24" t="s">
        <v>288</v>
      </c>
      <c r="G139" s="24" t="s">
        <v>288</v>
      </c>
    </row>
    <row r="140" spans="1:7" x14ac:dyDescent="0.2">
      <c r="A140" t="s">
        <v>240</v>
      </c>
      <c r="B140" s="32">
        <v>5253</v>
      </c>
      <c r="C140" s="95">
        <f>'DOE25'!L407</f>
        <v>563475.28</v>
      </c>
      <c r="D140" s="24" t="s">
        <v>288</v>
      </c>
      <c r="E140" s="24" t="s">
        <v>288</v>
      </c>
      <c r="F140" s="24" t="s">
        <v>288</v>
      </c>
      <c r="G140" s="24" t="s">
        <v>288</v>
      </c>
    </row>
    <row r="141" spans="1:7" x14ac:dyDescent="0.2">
      <c r="A141" t="s">
        <v>762</v>
      </c>
      <c r="B141" s="32">
        <v>5254</v>
      </c>
      <c r="C141" s="95">
        <f>('DOE25'!L266+'DOE25'!K347) - (C138+C139+C140)</f>
        <v>-1140027.56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10561060.889999999</v>
      </c>
      <c r="D144" s="141">
        <f>SUM(D130:D143)</f>
        <v>0</v>
      </c>
      <c r="E144" s="141">
        <f>SUM(E130:E143)</f>
        <v>0</v>
      </c>
      <c r="F144" s="141">
        <f>SUM(F130:F143)</f>
        <v>1244162.9300000002</v>
      </c>
      <c r="G144" s="141">
        <f>SUM(G130:G143)</f>
        <v>100000</v>
      </c>
    </row>
    <row r="145" spans="1:9" ht="12.75" thickTop="1" thickBot="1" x14ac:dyDescent="0.25">
      <c r="A145" s="33" t="s">
        <v>244</v>
      </c>
      <c r="C145" s="86">
        <f>(C115+C128+C144)</f>
        <v>159513115</v>
      </c>
      <c r="D145" s="86">
        <f>(D115+D128+D144)</f>
        <v>4791851.71</v>
      </c>
      <c r="E145" s="86">
        <f>(E115+E128+E144)</f>
        <v>10114276.74</v>
      </c>
      <c r="F145" s="86">
        <f>(F115+F128+F144)</f>
        <v>1244162.9300000002</v>
      </c>
      <c r="G145" s="86">
        <f>(G115+G128+G144)</f>
        <v>100000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55210500</v>
      </c>
      <c r="C156" s="137">
        <f>'DOE25'!G495</f>
        <v>0</v>
      </c>
      <c r="D156" s="137">
        <f>'DOE25'!H495</f>
        <v>0</v>
      </c>
      <c r="E156" s="137">
        <f>'DOE25'!I495</f>
        <v>0</v>
      </c>
      <c r="F156" s="137">
        <f>'DOE25'!J495</f>
        <v>0</v>
      </c>
      <c r="G156" s="138">
        <f>SUM(B156:F156)</f>
        <v>55210500</v>
      </c>
    </row>
    <row r="157" spans="1:9" x14ac:dyDescent="0.2">
      <c r="A157" s="22" t="s">
        <v>33</v>
      </c>
      <c r="B157" s="137">
        <f>'DOE25'!F496</f>
        <v>1132000</v>
      </c>
      <c r="C157" s="137">
        <f>'DOE25'!G496</f>
        <v>0</v>
      </c>
      <c r="D157" s="137">
        <f>'DOE25'!H496</f>
        <v>0</v>
      </c>
      <c r="E157" s="137">
        <f>'DOE25'!I496</f>
        <v>0</v>
      </c>
      <c r="F157" s="137">
        <f>'DOE25'!J496</f>
        <v>0</v>
      </c>
      <c r="G157" s="138">
        <f t="shared" ref="G157:G164" si="0">SUM(B157:F157)</f>
        <v>1132000</v>
      </c>
    </row>
    <row r="158" spans="1:9" x14ac:dyDescent="0.2">
      <c r="A158" s="22" t="s">
        <v>34</v>
      </c>
      <c r="B158" s="137">
        <f>'DOE25'!F497</f>
        <v>7973500</v>
      </c>
      <c r="C158" s="137">
        <f>'DOE25'!G497</f>
        <v>0</v>
      </c>
      <c r="D158" s="137">
        <f>'DOE25'!H497</f>
        <v>0</v>
      </c>
      <c r="E158" s="137">
        <f>'DOE25'!I497</f>
        <v>0</v>
      </c>
      <c r="F158" s="137">
        <f>'DOE25'!J497</f>
        <v>0</v>
      </c>
      <c r="G158" s="138">
        <f t="shared" si="0"/>
        <v>7973500</v>
      </c>
    </row>
    <row r="159" spans="1:9" x14ac:dyDescent="0.2">
      <c r="A159" s="22" t="s">
        <v>35</v>
      </c>
      <c r="B159" s="137">
        <f>'DOE25'!F498</f>
        <v>48369000</v>
      </c>
      <c r="C159" s="137">
        <f>'DOE25'!G498</f>
        <v>0</v>
      </c>
      <c r="D159" s="137">
        <f>'DOE25'!H498</f>
        <v>0</v>
      </c>
      <c r="E159" s="137">
        <f>'DOE25'!I498</f>
        <v>0</v>
      </c>
      <c r="F159" s="137">
        <f>'DOE25'!J498</f>
        <v>0</v>
      </c>
      <c r="G159" s="138">
        <f t="shared" si="0"/>
        <v>48369000</v>
      </c>
    </row>
    <row r="160" spans="1:9" x14ac:dyDescent="0.2">
      <c r="A160" s="22" t="s">
        <v>36</v>
      </c>
      <c r="B160" s="137">
        <f>'DOE25'!F499</f>
        <v>9735170</v>
      </c>
      <c r="C160" s="137">
        <f>'DOE25'!G499</f>
        <v>0</v>
      </c>
      <c r="D160" s="137">
        <f>'DOE25'!H499</f>
        <v>0</v>
      </c>
      <c r="E160" s="137">
        <f>'DOE25'!I499</f>
        <v>0</v>
      </c>
      <c r="F160" s="137">
        <f>'DOE25'!J499</f>
        <v>0</v>
      </c>
      <c r="G160" s="138">
        <f t="shared" si="0"/>
        <v>9735170</v>
      </c>
    </row>
    <row r="161" spans="1:7" x14ac:dyDescent="0.2">
      <c r="A161" s="22" t="s">
        <v>37</v>
      </c>
      <c r="B161" s="137">
        <f>'DOE25'!F500</f>
        <v>58104170</v>
      </c>
      <c r="C161" s="137">
        <f>'DOE25'!G500</f>
        <v>0</v>
      </c>
      <c r="D161" s="137">
        <f>'DOE25'!H500</f>
        <v>0</v>
      </c>
      <c r="E161" s="137">
        <f>'DOE25'!I500</f>
        <v>0</v>
      </c>
      <c r="F161" s="137">
        <f>'DOE25'!J500</f>
        <v>0</v>
      </c>
      <c r="G161" s="138">
        <f t="shared" si="0"/>
        <v>58104170</v>
      </c>
    </row>
    <row r="162" spans="1:7" x14ac:dyDescent="0.2">
      <c r="A162" s="22" t="s">
        <v>38</v>
      </c>
      <c r="B162" s="137">
        <f>'DOE25'!F501</f>
        <v>8038000</v>
      </c>
      <c r="C162" s="137">
        <f>'DOE25'!G501</f>
        <v>0</v>
      </c>
      <c r="D162" s="137">
        <f>'DOE25'!H501</f>
        <v>0</v>
      </c>
      <c r="E162" s="137">
        <f>'DOE25'!I501</f>
        <v>0</v>
      </c>
      <c r="F162" s="137">
        <f>'DOE25'!J501</f>
        <v>0</v>
      </c>
      <c r="G162" s="138">
        <f t="shared" si="0"/>
        <v>8038000</v>
      </c>
    </row>
    <row r="163" spans="1:7" x14ac:dyDescent="0.2">
      <c r="A163" s="22" t="s">
        <v>39</v>
      </c>
      <c r="B163" s="137">
        <f>'DOE25'!F502</f>
        <v>1852316</v>
      </c>
      <c r="C163" s="137">
        <f>'DOE25'!G502</f>
        <v>0</v>
      </c>
      <c r="D163" s="137">
        <f>'DOE25'!H502</f>
        <v>0</v>
      </c>
      <c r="E163" s="137">
        <f>'DOE25'!I502</f>
        <v>0</v>
      </c>
      <c r="F163" s="137">
        <f>'DOE25'!J502</f>
        <v>0</v>
      </c>
      <c r="G163" s="138">
        <f t="shared" si="0"/>
        <v>1852316</v>
      </c>
    </row>
    <row r="164" spans="1:7" x14ac:dyDescent="0.2">
      <c r="A164" s="22" t="s">
        <v>246</v>
      </c>
      <c r="B164" s="137">
        <f>'DOE25'!F503</f>
        <v>9890316</v>
      </c>
      <c r="C164" s="137">
        <f>'DOE25'!G503</f>
        <v>0</v>
      </c>
      <c r="D164" s="137">
        <f>'DOE25'!H503</f>
        <v>0</v>
      </c>
      <c r="E164" s="137">
        <f>'DOE25'!I503</f>
        <v>0</v>
      </c>
      <c r="F164" s="137">
        <f>'DOE25'!J503</f>
        <v>0</v>
      </c>
      <c r="G164" s="138">
        <f t="shared" si="0"/>
        <v>9890316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38" sqref="C38"/>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NASHUA SCHOOL DISTRICT</v>
      </c>
    </row>
    <row r="3" spans="1:4" x14ac:dyDescent="0.2">
      <c r="B3" s="188" t="s">
        <v>1602</v>
      </c>
    </row>
    <row r="4" spans="1:4" x14ac:dyDescent="0.2">
      <c r="B4" t="s">
        <v>61</v>
      </c>
      <c r="C4" s="179">
        <f>IF('DOE25'!F665+'DOE25'!F670=0,0,ROUND('DOE25'!F672,0))</f>
        <v>13666</v>
      </c>
    </row>
    <row r="5" spans="1:4" x14ac:dyDescent="0.2">
      <c r="B5" t="s">
        <v>700</v>
      </c>
      <c r="C5" s="179">
        <f>IF('DOE25'!G665+'DOE25'!G670=0,0,ROUND('DOE25'!G672,0))</f>
        <v>13279</v>
      </c>
    </row>
    <row r="6" spans="1:4" x14ac:dyDescent="0.2">
      <c r="B6" t="s">
        <v>62</v>
      </c>
      <c r="C6" s="179">
        <f>IF('DOE25'!H665+'DOE25'!H670=0,0,ROUND('DOE25'!H672,0))</f>
        <v>12668</v>
      </c>
    </row>
    <row r="7" spans="1:4" x14ac:dyDescent="0.2">
      <c r="B7" t="s">
        <v>701</v>
      </c>
      <c r="C7" s="179">
        <f>IF('DOE25'!I665+'DOE25'!I670=0,0,ROUND('DOE25'!I672,0))</f>
        <v>13261</v>
      </c>
    </row>
    <row r="9" spans="1:4" x14ac:dyDescent="0.2">
      <c r="A9" s="187" t="s">
        <v>94</v>
      </c>
      <c r="B9" s="188" t="s">
        <v>1603</v>
      </c>
      <c r="C9" s="181" t="s">
        <v>720</v>
      </c>
      <c r="D9" s="181" t="s">
        <v>721</v>
      </c>
    </row>
    <row r="10" spans="1:4" x14ac:dyDescent="0.2">
      <c r="A10">
        <v>1100</v>
      </c>
      <c r="B10" t="s">
        <v>702</v>
      </c>
      <c r="C10" s="179">
        <f>ROUND('DOE25'!L197+'DOE25'!L215+'DOE25'!L233+'DOE25'!L276+'DOE25'!L295+'DOE25'!L314,0)</f>
        <v>61766844</v>
      </c>
      <c r="D10" s="182">
        <f>ROUND((C10/$C$28)*100,1)</f>
        <v>37.6</v>
      </c>
    </row>
    <row r="11" spans="1:4" x14ac:dyDescent="0.2">
      <c r="A11">
        <v>1200</v>
      </c>
      <c r="B11" t="s">
        <v>703</v>
      </c>
      <c r="C11" s="179">
        <f>ROUND('DOE25'!L198+'DOE25'!L216+'DOE25'!L234+'DOE25'!L277+'DOE25'!L296+'DOE25'!L315,0)</f>
        <v>33323794</v>
      </c>
      <c r="D11" s="182">
        <f>ROUND((C11/$C$28)*100,1)</f>
        <v>20.3</v>
      </c>
    </row>
    <row r="12" spans="1:4" x14ac:dyDescent="0.2">
      <c r="A12">
        <v>1300</v>
      </c>
      <c r="B12" t="s">
        <v>704</v>
      </c>
      <c r="C12" s="179">
        <f>ROUND('DOE25'!L199+'DOE25'!L217+'DOE25'!L235+'DOE25'!L278+'DOE25'!L297+'DOE25'!L316,0)</f>
        <v>5730822</v>
      </c>
      <c r="D12" s="182">
        <f>ROUND((C12/$C$28)*100,1)</f>
        <v>3.5</v>
      </c>
    </row>
    <row r="13" spans="1:4" x14ac:dyDescent="0.2">
      <c r="A13">
        <v>1400</v>
      </c>
      <c r="B13" t="s">
        <v>705</v>
      </c>
      <c r="C13" s="179">
        <f>ROUND('DOE25'!L200+'DOE25'!L218+'DOE25'!L236+'DOE25'!L279+'DOE25'!L298+'DOE25'!L317,0)</f>
        <v>2093430</v>
      </c>
      <c r="D13" s="182">
        <f>ROUND((C13/$C$28)*100,1)</f>
        <v>1.3</v>
      </c>
    </row>
    <row r="14" spans="1:4" x14ac:dyDescent="0.2">
      <c r="D14" s="182"/>
    </row>
    <row r="15" spans="1:4" x14ac:dyDescent="0.2">
      <c r="A15">
        <v>2100</v>
      </c>
      <c r="B15" t="s">
        <v>706</v>
      </c>
      <c r="C15" s="179">
        <f>ROUND('DOE25'!L202+'DOE25'!L220+'DOE25'!L238+'DOE25'!L281+'DOE25'!L300+'DOE25'!L319,0)</f>
        <v>13984736</v>
      </c>
      <c r="D15" s="182">
        <f t="shared" ref="D15:D27" si="0">ROUND((C15/$C$28)*100,1)</f>
        <v>8.5</v>
      </c>
    </row>
    <row r="16" spans="1:4" x14ac:dyDescent="0.2">
      <c r="A16">
        <v>2200</v>
      </c>
      <c r="B16" t="s">
        <v>707</v>
      </c>
      <c r="C16" s="179">
        <f>ROUND('DOE25'!L203+'DOE25'!L221+'DOE25'!L239+'DOE25'!L282+'DOE25'!L301+'DOE25'!L320,0)</f>
        <v>6495908</v>
      </c>
      <c r="D16" s="182">
        <f t="shared" si="0"/>
        <v>4</v>
      </c>
    </row>
    <row r="17" spans="1:4" x14ac:dyDescent="0.2">
      <c r="A17" s="183" t="s">
        <v>723</v>
      </c>
      <c r="B17" t="s">
        <v>738</v>
      </c>
      <c r="C17" s="179">
        <f>ROUND('DOE25'!L204+'DOE25'!L209+'DOE25'!L222+'DOE25'!L227+'DOE25'!L240+'DOE25'!L245+'DOE25'!L283+'DOE25'!L288+'DOE25'!L302+'DOE25'!L307+'DOE25'!L321+'DOE25'!L326,0)</f>
        <v>3947817</v>
      </c>
      <c r="D17" s="182">
        <f t="shared" si="0"/>
        <v>2.4</v>
      </c>
    </row>
    <row r="18" spans="1:4" x14ac:dyDescent="0.2">
      <c r="A18">
        <v>2400</v>
      </c>
      <c r="B18" t="s">
        <v>711</v>
      </c>
      <c r="C18" s="179">
        <f>ROUND('DOE25'!L205+'DOE25'!L223+'DOE25'!L241+'DOE25'!L284+'DOE25'!L303+'DOE25'!L322,0)</f>
        <v>7482942</v>
      </c>
      <c r="D18" s="182">
        <f t="shared" si="0"/>
        <v>4.5999999999999996</v>
      </c>
    </row>
    <row r="19" spans="1:4" x14ac:dyDescent="0.2">
      <c r="A19">
        <v>2500</v>
      </c>
      <c r="B19" t="s">
        <v>708</v>
      </c>
      <c r="C19" s="179">
        <f>ROUND('DOE25'!L206+'DOE25'!L224+'DOE25'!L242+'DOE25'!L285+'DOE25'!L304+'DOE25'!L323,0)</f>
        <v>1333480</v>
      </c>
      <c r="D19" s="182">
        <f t="shared" si="0"/>
        <v>0.8</v>
      </c>
    </row>
    <row r="20" spans="1:4" x14ac:dyDescent="0.2">
      <c r="A20">
        <v>2600</v>
      </c>
      <c r="B20" t="s">
        <v>709</v>
      </c>
      <c r="C20" s="179">
        <f>ROUND('DOE25'!L207+'DOE25'!L225+'DOE25'!L243+'DOE25'!L286+'DOE25'!L305+'DOE25'!L324,0)</f>
        <v>15100740</v>
      </c>
      <c r="D20" s="182">
        <f t="shared" si="0"/>
        <v>9.1999999999999993</v>
      </c>
    </row>
    <row r="21" spans="1:4" x14ac:dyDescent="0.2">
      <c r="A21">
        <v>2700</v>
      </c>
      <c r="B21" t="s">
        <v>710</v>
      </c>
      <c r="C21" s="179">
        <f>ROUND('DOE25'!L208+'DOE25'!L226+'DOE25'!L244+'DOE25'!L287+'DOE25'!L306+'DOE25'!L325,0)</f>
        <v>7318024</v>
      </c>
      <c r="D21" s="182">
        <f t="shared" si="0"/>
        <v>4.5</v>
      </c>
    </row>
    <row r="22" spans="1:4" x14ac:dyDescent="0.2">
      <c r="A22">
        <v>2900</v>
      </c>
      <c r="B22" t="s">
        <v>712</v>
      </c>
      <c r="C22" s="179">
        <v>0</v>
      </c>
      <c r="D22" s="182">
        <f t="shared" si="0"/>
        <v>0</v>
      </c>
    </row>
    <row r="23" spans="1:4" x14ac:dyDescent="0.2">
      <c r="A23">
        <v>1500</v>
      </c>
      <c r="B23" t="s">
        <v>714</v>
      </c>
      <c r="C23" s="179">
        <f>ROUND('DOE25'!L250+'DOE25'!L332,0)</f>
        <v>72672</v>
      </c>
      <c r="D23" s="182">
        <f t="shared" si="0"/>
        <v>0</v>
      </c>
    </row>
    <row r="24" spans="1:4" x14ac:dyDescent="0.2">
      <c r="A24" s="183" t="s">
        <v>722</v>
      </c>
      <c r="B24" t="s">
        <v>715</v>
      </c>
      <c r="C24" s="179">
        <f>ROUND('DOE25'!L251+'DOE25'!L252+'DOE25'!L253+'DOE25'!L254+'DOE25'!L333+'DOE25'!L334+'DOE25'!L335,0)</f>
        <v>415122</v>
      </c>
      <c r="D24" s="182">
        <f t="shared" si="0"/>
        <v>0.3</v>
      </c>
    </row>
    <row r="25" spans="1:4" x14ac:dyDescent="0.2">
      <c r="A25">
        <v>5120</v>
      </c>
      <c r="B25" t="s">
        <v>716</v>
      </c>
      <c r="C25" s="179">
        <f>ROUND('DOE25'!L261+'DOE25'!L342,0)</f>
        <v>2130970</v>
      </c>
      <c r="D25" s="182">
        <f t="shared" si="0"/>
        <v>1.3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2871705.6399999997</v>
      </c>
      <c r="D27" s="182">
        <f t="shared" si="0"/>
        <v>1.8</v>
      </c>
    </row>
    <row r="28" spans="1:4" x14ac:dyDescent="0.2">
      <c r="B28" s="187" t="s">
        <v>719</v>
      </c>
      <c r="C28" s="180">
        <f>SUM(C10:C27)</f>
        <v>164069006.63999999</v>
      </c>
      <c r="D28" s="184">
        <f>ROUND(SUM(D10:D27),0)</f>
        <v>100</v>
      </c>
    </row>
    <row r="29" spans="1:4" x14ac:dyDescent="0.2">
      <c r="A29">
        <v>4000</v>
      </c>
      <c r="B29" t="s">
        <v>724</v>
      </c>
      <c r="C29" s="179">
        <f>ROUND('DOE25'!L255+'DOE25'!L336+'DOE25'!L374+'DOE25'!L375+'DOE25'!L376+'DOE25'!L377+'DOE25'!L378+'DOE25'!L379+'DOE25'!L380,0)</f>
        <v>1372606</v>
      </c>
    </row>
    <row r="30" spans="1:4" x14ac:dyDescent="0.2">
      <c r="B30" s="187" t="s">
        <v>725</v>
      </c>
      <c r="C30" s="180">
        <f>SUM(C28:C29)</f>
        <v>165441612.63999999</v>
      </c>
    </row>
    <row r="31" spans="1:4" x14ac:dyDescent="0.2">
      <c r="B31" s="33"/>
      <c r="C31" s="180"/>
    </row>
    <row r="32" spans="1:4" x14ac:dyDescent="0.2">
      <c r="A32">
        <v>5100</v>
      </c>
      <c r="B32" s="33" t="s">
        <v>726</v>
      </c>
      <c r="C32" s="180">
        <f>ROUND('DOE25'!L260+'DOE25'!L341,0)</f>
        <v>7973500</v>
      </c>
    </row>
    <row r="34" spans="1:4" x14ac:dyDescent="0.2">
      <c r="A34" s="187" t="s">
        <v>94</v>
      </c>
      <c r="B34" s="188" t="s">
        <v>1604</v>
      </c>
      <c r="C34" s="181" t="s">
        <v>720</v>
      </c>
      <c r="D34" s="181" t="s">
        <v>721</v>
      </c>
    </row>
    <row r="35" spans="1:4" x14ac:dyDescent="0.2">
      <c r="A35">
        <v>1100</v>
      </c>
      <c r="B35" s="185" t="s">
        <v>727</v>
      </c>
      <c r="C35" s="179">
        <f>ROUND('DOE25'!F60+'DOE25'!G60+'DOE25'!H60+'DOE25'!I60+'DOE25'!J60,0)</f>
        <v>97582968</v>
      </c>
      <c r="D35" s="182">
        <f t="shared" ref="D35:D40" si="1">ROUND((C35/$C$41)*100,1)</f>
        <v>56.1</v>
      </c>
    </row>
    <row r="36" spans="1:4" x14ac:dyDescent="0.2">
      <c r="B36" s="185" t="s">
        <v>739</v>
      </c>
      <c r="C36" s="179">
        <f>SUM('DOE25'!F112:J112)-SUM('DOE25'!G97:G110)+('DOE25'!F174+'DOE25'!F175+'DOE25'!I174+'DOE25'!I175)-C35</f>
        <v>2691500.7699999809</v>
      </c>
      <c r="D36" s="182">
        <f t="shared" si="1"/>
        <v>1.5</v>
      </c>
    </row>
    <row r="37" spans="1:4" x14ac:dyDescent="0.2">
      <c r="A37" s="183" t="s">
        <v>835</v>
      </c>
      <c r="B37" s="185" t="s">
        <v>728</v>
      </c>
      <c r="C37" s="179">
        <f>ROUND('DOE25'!F117+'DOE25'!F118,0)</f>
        <v>55162677</v>
      </c>
      <c r="D37" s="182">
        <f t="shared" si="1"/>
        <v>31.7</v>
      </c>
    </row>
    <row r="38" spans="1:4" x14ac:dyDescent="0.2">
      <c r="A38" s="183" t="s">
        <v>734</v>
      </c>
      <c r="B38" s="185" t="s">
        <v>729</v>
      </c>
      <c r="C38" s="179">
        <f>ROUND(SUM('DOE25'!F140:J140)-SUM('DOE25'!F117:F119),0)</f>
        <v>4718001</v>
      </c>
      <c r="D38" s="182">
        <f t="shared" si="1"/>
        <v>2.7</v>
      </c>
    </row>
    <row r="39" spans="1:4" x14ac:dyDescent="0.2">
      <c r="A39">
        <v>4000</v>
      </c>
      <c r="B39" s="185" t="s">
        <v>730</v>
      </c>
      <c r="C39" s="179">
        <f>ROUND('DOE25'!F169+'DOE25'!G169+'DOE25'!H169+'DOE25'!I169,0)</f>
        <v>13905712</v>
      </c>
      <c r="D39" s="182">
        <f t="shared" si="1"/>
        <v>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174060858.76999998</v>
      </c>
      <c r="D41" s="184">
        <f>SUM(D35:D40)</f>
        <v>100</v>
      </c>
    </row>
    <row r="42" spans="1:4" x14ac:dyDescent="0.2">
      <c r="A42" s="183" t="s">
        <v>737</v>
      </c>
      <c r="B42" s="185" t="s">
        <v>733</v>
      </c>
      <c r="C42" s="179">
        <f>ROUND('DOE25'!F173+'DOE25'!I173+'DOE25'!F176+'DOE25'!I176,0)</f>
        <v>1132000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NASHUA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2019-10-31T14:59:31Z</cp:lastPrinted>
  <dcterms:created xsi:type="dcterms:W3CDTF">1997-12-04T19:04:30Z</dcterms:created>
  <dcterms:modified xsi:type="dcterms:W3CDTF">2019-11-22T16:02:59Z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