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2"/>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28" i="1" l="1"/>
  <c r="H527" i="1"/>
  <c r="H526" i="1"/>
  <c r="G528" i="1"/>
  <c r="G527" i="1"/>
  <c r="G526" i="1"/>
  <c r="F528" i="1"/>
  <c r="F527" i="1"/>
  <c r="F526" i="1"/>
  <c r="I528" i="1"/>
  <c r="I527" i="1"/>
  <c r="I526" i="1"/>
  <c r="H523" i="1"/>
  <c r="H522" i="1"/>
  <c r="H521" i="1"/>
  <c r="J522" i="1"/>
  <c r="J521" i="1"/>
  <c r="I523" i="1"/>
  <c r="I522" i="1"/>
  <c r="I521" i="1"/>
  <c r="G523" i="1"/>
  <c r="G522" i="1"/>
  <c r="G521" i="1"/>
  <c r="F523" i="1"/>
  <c r="F522" i="1"/>
  <c r="F521" i="1"/>
  <c r="G533" i="1" l="1"/>
  <c r="G532" i="1"/>
  <c r="G531" i="1"/>
  <c r="F533" i="1"/>
  <c r="F532" i="1"/>
  <c r="F531" i="1"/>
  <c r="F582" i="1" l="1"/>
  <c r="H155" i="1" l="1"/>
  <c r="F110" i="1" l="1"/>
  <c r="F70" i="1"/>
  <c r="F68" i="1"/>
  <c r="F57" i="1"/>
  <c r="F125" i="1" l="1"/>
  <c r="F117" i="1"/>
  <c r="F63" i="1"/>
  <c r="G158" i="1" l="1"/>
  <c r="G132" i="1"/>
  <c r="D25" i="14" l="1"/>
  <c r="D5" i="14"/>
  <c r="C37" i="12"/>
  <c r="C20" i="12"/>
  <c r="H543" i="1"/>
  <c r="H542" i="1"/>
  <c r="H541" i="1"/>
  <c r="I591" i="1"/>
  <c r="H591" i="1"/>
  <c r="J604" i="1"/>
  <c r="I604" i="1"/>
  <c r="H604" i="1"/>
  <c r="J592" i="1"/>
  <c r="I592" i="1"/>
  <c r="H592" i="1"/>
  <c r="J594" i="1"/>
  <c r="I594" i="1"/>
  <c r="J593" i="1"/>
  <c r="H595" i="1"/>
  <c r="J595" i="1"/>
  <c r="I595" i="1"/>
  <c r="F28" i="1" l="1"/>
  <c r="F24" i="1"/>
  <c r="F499" i="1"/>
  <c r="F498" i="1"/>
  <c r="F469" i="1"/>
  <c r="H244" i="1"/>
  <c r="H226" i="1"/>
  <c r="H208" i="1"/>
  <c r="G244" i="1"/>
  <c r="G226" i="1"/>
  <c r="G208" i="1"/>
  <c r="F244" i="1"/>
  <c r="F226" i="1"/>
  <c r="F208" i="1"/>
  <c r="J243" i="1"/>
  <c r="I243" i="1"/>
  <c r="I225" i="1"/>
  <c r="I207" i="1"/>
  <c r="H243" i="1"/>
  <c r="H225" i="1"/>
  <c r="H207" i="1"/>
  <c r="G243" i="1"/>
  <c r="G225" i="1"/>
  <c r="G207" i="1"/>
  <c r="F243" i="1"/>
  <c r="F225" i="1"/>
  <c r="F207" i="1"/>
  <c r="G241" i="1"/>
  <c r="G223" i="1"/>
  <c r="G205" i="1"/>
  <c r="G240" i="1"/>
  <c r="G222" i="1"/>
  <c r="G204" i="1"/>
  <c r="F240" i="1"/>
  <c r="F222" i="1"/>
  <c r="F204" i="1"/>
  <c r="J239" i="1"/>
  <c r="J221" i="1"/>
  <c r="J203" i="1"/>
  <c r="I239" i="1"/>
  <c r="I221" i="1"/>
  <c r="I203" i="1"/>
  <c r="H239" i="1"/>
  <c r="H221" i="1"/>
  <c r="H203" i="1"/>
  <c r="G239" i="1"/>
  <c r="G221" i="1"/>
  <c r="G203" i="1"/>
  <c r="F239" i="1"/>
  <c r="F221" i="1"/>
  <c r="F203" i="1"/>
  <c r="H238" i="1"/>
  <c r="H220" i="1"/>
  <c r="H202" i="1"/>
  <c r="G238" i="1"/>
  <c r="G220" i="1"/>
  <c r="G202" i="1"/>
  <c r="F238" i="1"/>
  <c r="F220" i="1"/>
  <c r="F202" i="1"/>
  <c r="K198" i="1"/>
  <c r="I234" i="1"/>
  <c r="I216" i="1"/>
  <c r="I198" i="1"/>
  <c r="H234" i="1"/>
  <c r="H216" i="1"/>
  <c r="H198" i="1"/>
  <c r="G234" i="1"/>
  <c r="G216" i="1"/>
  <c r="G198" i="1"/>
  <c r="F234" i="1"/>
  <c r="F216" i="1"/>
  <c r="F198" i="1"/>
  <c r="G233" i="1"/>
  <c r="G215" i="1"/>
  <c r="G197" i="1"/>
  <c r="F233" i="1"/>
  <c r="F215" i="1"/>
  <c r="F197" i="1"/>
  <c r="K241" i="1"/>
  <c r="J241" i="1"/>
  <c r="I241" i="1"/>
  <c r="H241" i="1"/>
  <c r="F241" i="1"/>
  <c r="I238" i="1"/>
  <c r="K236" i="1"/>
  <c r="J236" i="1"/>
  <c r="I236" i="1"/>
  <c r="H236" i="1"/>
  <c r="G236" i="1"/>
  <c r="F236" i="1"/>
  <c r="K235" i="1"/>
  <c r="J235" i="1"/>
  <c r="I235" i="1"/>
  <c r="H235" i="1"/>
  <c r="G235" i="1"/>
  <c r="F235" i="1"/>
  <c r="K233" i="1"/>
  <c r="J233" i="1"/>
  <c r="I233" i="1"/>
  <c r="H233" i="1"/>
  <c r="K223" i="1"/>
  <c r="H223" i="1"/>
  <c r="F223" i="1"/>
  <c r="K221" i="1"/>
  <c r="I220" i="1"/>
  <c r="J218" i="1"/>
  <c r="G218" i="1"/>
  <c r="F218" i="1"/>
  <c r="J216" i="1"/>
  <c r="K215" i="1"/>
  <c r="J215" i="1"/>
  <c r="I215" i="1"/>
  <c r="H215" i="1"/>
  <c r="K205" i="1"/>
  <c r="H205" i="1"/>
  <c r="F205" i="1"/>
  <c r="K203" i="1"/>
  <c r="G200" i="1"/>
  <c r="F200" i="1"/>
  <c r="K197" i="1"/>
  <c r="J197" i="1"/>
  <c r="I197" i="1"/>
  <c r="H197" i="1"/>
  <c r="F105" i="1"/>
  <c r="F9" i="1"/>
  <c r="H277" i="1"/>
  <c r="G282" i="1" l="1"/>
  <c r="F320" i="1"/>
  <c r="F301" i="1"/>
  <c r="F282" i="1"/>
  <c r="I314" i="1" l="1"/>
  <c r="I295" i="1"/>
  <c r="G276" i="1"/>
  <c r="F314" i="1"/>
  <c r="F295" i="1"/>
  <c r="F276" i="1"/>
  <c r="H156" i="1"/>
  <c r="H154" i="1"/>
  <c r="J472" i="1" l="1"/>
  <c r="I472" i="1"/>
  <c r="G472" i="1"/>
  <c r="J468" i="1"/>
  <c r="I468" i="1"/>
  <c r="H358" i="1"/>
  <c r="G97"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E121" i="2" s="1"/>
  <c r="L285" i="1"/>
  <c r="L286" i="1"/>
  <c r="L287" i="1"/>
  <c r="L288" i="1"/>
  <c r="E125" i="2" s="1"/>
  <c r="L295" i="1"/>
  <c r="L296" i="1"/>
  <c r="L297" i="1"/>
  <c r="L298" i="1"/>
  <c r="L300" i="1"/>
  <c r="L301" i="1"/>
  <c r="L302" i="1"/>
  <c r="L303" i="1"/>
  <c r="L304" i="1"/>
  <c r="L305" i="1"/>
  <c r="L306" i="1"/>
  <c r="L307" i="1"/>
  <c r="L314" i="1"/>
  <c r="L315" i="1"/>
  <c r="L316" i="1"/>
  <c r="L317" i="1"/>
  <c r="L319" i="1"/>
  <c r="L320" i="1"/>
  <c r="E119" i="2" s="1"/>
  <c r="L321" i="1"/>
  <c r="L322" i="1"/>
  <c r="L323" i="1"/>
  <c r="L324" i="1"/>
  <c r="L325" i="1"/>
  <c r="H662" i="1" s="1"/>
  <c r="L326" i="1"/>
  <c r="L333" i="1"/>
  <c r="E114" i="2" s="1"/>
  <c r="L334" i="1"/>
  <c r="L335" i="1"/>
  <c r="L260" i="1"/>
  <c r="C32" i="10" s="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C58" i="2" s="1"/>
  <c r="F111" i="1"/>
  <c r="G111" i="1"/>
  <c r="G112" i="1" s="1"/>
  <c r="H79" i="1"/>
  <c r="H112" i="1"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L250" i="1"/>
  <c r="C113" i="2" s="1"/>
  <c r="L332" i="1"/>
  <c r="E113" i="2" s="1"/>
  <c r="L254" i="1"/>
  <c r="L268" i="1"/>
  <c r="L269" i="1"/>
  <c r="C143" i="2" s="1"/>
  <c r="L349" i="1"/>
  <c r="E142" i="2" s="1"/>
  <c r="L350" i="1"/>
  <c r="I665" i="1"/>
  <c r="I670" i="1"/>
  <c r="G662" i="1"/>
  <c r="I669" i="1"/>
  <c r="C4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L270" i="1" s="1"/>
  <c r="F270" i="1"/>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D81" i="2" s="1"/>
  <c r="E77" i="2"/>
  <c r="F77" i="2"/>
  <c r="G77" i="2"/>
  <c r="G78" i="2" s="1"/>
  <c r="C79" i="2"/>
  <c r="D79" i="2"/>
  <c r="E79" i="2"/>
  <c r="C80" i="2"/>
  <c r="E80" i="2"/>
  <c r="C85" i="2"/>
  <c r="D85" i="2"/>
  <c r="F85" i="2"/>
  <c r="C87" i="2"/>
  <c r="E87" i="2"/>
  <c r="F87" i="2"/>
  <c r="C88" i="2"/>
  <c r="C91" i="2" s="1"/>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E120" i="2"/>
  <c r="E123" i="2"/>
  <c r="E124" i="2"/>
  <c r="C125" i="2"/>
  <c r="F128" i="2"/>
  <c r="G128" i="2"/>
  <c r="C130" i="2"/>
  <c r="D134" i="2"/>
  <c r="D144" i="2" s="1"/>
  <c r="E134" i="2"/>
  <c r="F134" i="2"/>
  <c r="K419" i="1"/>
  <c r="K427" i="1"/>
  <c r="K433" i="1"/>
  <c r="L263" i="1"/>
  <c r="C135" i="2" s="1"/>
  <c r="E135" i="2"/>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F338" i="1" s="1"/>
  <c r="F352" i="1" s="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G461" i="1" s="1"/>
  <c r="H640" i="1" s="1"/>
  <c r="H452" i="1"/>
  <c r="F460" i="1"/>
  <c r="G460" i="1"/>
  <c r="H460" i="1"/>
  <c r="H461" i="1"/>
  <c r="H641" i="1" s="1"/>
  <c r="I470" i="1"/>
  <c r="J470" i="1"/>
  <c r="J476" i="1" s="1"/>
  <c r="H626" i="1" s="1"/>
  <c r="G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30" i="1"/>
  <c r="H631" i="1"/>
  <c r="H634" i="1"/>
  <c r="H635" i="1"/>
  <c r="H636" i="1"/>
  <c r="H637" i="1"/>
  <c r="H638" i="1"/>
  <c r="G640" i="1"/>
  <c r="G643" i="1"/>
  <c r="J643" i="1" s="1"/>
  <c r="H643" i="1"/>
  <c r="G644" i="1"/>
  <c r="G645" i="1"/>
  <c r="J645" i="1" s="1"/>
  <c r="H645" i="1"/>
  <c r="G650" i="1"/>
  <c r="G651" i="1"/>
  <c r="G652" i="1"/>
  <c r="H652" i="1"/>
  <c r="G653" i="1"/>
  <c r="H653" i="1"/>
  <c r="G654" i="1"/>
  <c r="H654" i="1"/>
  <c r="H655" i="1"/>
  <c r="L256" i="1"/>
  <c r="E103" i="2"/>
  <c r="G62" i="2"/>
  <c r="J571" i="1"/>
  <c r="I169" i="1"/>
  <c r="J140" i="1"/>
  <c r="G22" i="2"/>
  <c r="H140" i="1"/>
  <c r="L560" i="1"/>
  <c r="H192" i="1"/>
  <c r="J655" i="1"/>
  <c r="H552" i="1" l="1"/>
  <c r="A40" i="12"/>
  <c r="F461" i="1"/>
  <c r="H639" i="1" s="1"/>
  <c r="F571" i="1"/>
  <c r="G552" i="1"/>
  <c r="I545" i="1"/>
  <c r="G545" i="1"/>
  <c r="K605" i="1"/>
  <c r="G648" i="1" s="1"/>
  <c r="J651" i="1"/>
  <c r="C119" i="2"/>
  <c r="J257" i="1"/>
  <c r="J271" i="1" s="1"/>
  <c r="D6" i="13"/>
  <c r="C6" i="13" s="1"/>
  <c r="C110" i="2"/>
  <c r="F257" i="1"/>
  <c r="F271" i="1" s="1"/>
  <c r="C18" i="10"/>
  <c r="H257" i="1"/>
  <c r="H271" i="1" s="1"/>
  <c r="F112" i="1"/>
  <c r="C18" i="2"/>
  <c r="E112" i="2"/>
  <c r="C13" i="10"/>
  <c r="E111" i="2"/>
  <c r="C12" i="10"/>
  <c r="E110" i="2"/>
  <c r="C11" i="10"/>
  <c r="G338" i="1"/>
  <c r="G352" i="1" s="1"/>
  <c r="F661" i="1"/>
  <c r="L362" i="1"/>
  <c r="D18" i="2"/>
  <c r="J641" i="1"/>
  <c r="J640" i="1"/>
  <c r="L328" i="1"/>
  <c r="L309" i="1"/>
  <c r="E122" i="2"/>
  <c r="E118" i="2"/>
  <c r="L290" i="1"/>
  <c r="L247" i="1"/>
  <c r="L211" i="1"/>
  <c r="L614" i="1"/>
  <c r="K598" i="1"/>
  <c r="G647" i="1" s="1"/>
  <c r="K571" i="1"/>
  <c r="L570" i="1"/>
  <c r="H571" i="1"/>
  <c r="L565" i="1"/>
  <c r="I571" i="1"/>
  <c r="K545" i="1"/>
  <c r="H52" i="1"/>
  <c r="H619" i="1" s="1"/>
  <c r="J619" i="1" s="1"/>
  <c r="C114" i="2"/>
  <c r="H647" i="1"/>
  <c r="J644" i="1"/>
  <c r="G625" i="1"/>
  <c r="L529" i="1"/>
  <c r="H545" i="1"/>
  <c r="G164" i="2"/>
  <c r="G161" i="2"/>
  <c r="G157" i="2"/>
  <c r="G156" i="2"/>
  <c r="G81" i="2"/>
  <c r="C78" i="2"/>
  <c r="F78" i="2"/>
  <c r="F81" i="2" s="1"/>
  <c r="F104" i="2" s="1"/>
  <c r="C70" i="2"/>
  <c r="D62" i="2"/>
  <c r="D63" i="2" s="1"/>
  <c r="E57" i="2"/>
  <c r="E62" i="2" s="1"/>
  <c r="E63" i="2" s="1"/>
  <c r="C131" i="2"/>
  <c r="C26" i="10"/>
  <c r="J545" i="1"/>
  <c r="I476" i="1"/>
  <c r="H625" i="1" s="1"/>
  <c r="J625" i="1" s="1"/>
  <c r="L433" i="1"/>
  <c r="L427" i="1"/>
  <c r="I257" i="1"/>
  <c r="I271" i="1" s="1"/>
  <c r="K257" i="1"/>
  <c r="K271" i="1" s="1"/>
  <c r="G192" i="1"/>
  <c r="F192" i="1"/>
  <c r="J552" i="1"/>
  <c r="I552" i="1"/>
  <c r="K549" i="1"/>
  <c r="F552" i="1"/>
  <c r="L351" i="1"/>
  <c r="F130" i="2"/>
  <c r="F144" i="2" s="1"/>
  <c r="F145" i="2" s="1"/>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C16" i="13"/>
  <c r="L337" i="1"/>
  <c r="F62" i="2"/>
  <c r="F63"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C141" i="2" s="1"/>
  <c r="I192" i="1"/>
  <c r="E91" i="2"/>
  <c r="L408" i="1"/>
  <c r="G637" i="1" s="1"/>
  <c r="J637" i="1" s="1"/>
  <c r="D51" i="2"/>
  <c r="J654" i="1"/>
  <c r="J653" i="1"/>
  <c r="G21" i="2"/>
  <c r="G31" i="2" s="1"/>
  <c r="J32" i="1"/>
  <c r="L434" i="1"/>
  <c r="G638" i="1" s="1"/>
  <c r="J638" i="1" s="1"/>
  <c r="J434" i="1"/>
  <c r="F434" i="1"/>
  <c r="K434" i="1"/>
  <c r="G134" i="2" s="1"/>
  <c r="G144" i="2" s="1"/>
  <c r="G145" i="2" s="1"/>
  <c r="G31" i="13"/>
  <c r="J193" i="1"/>
  <c r="G646" i="1" s="1"/>
  <c r="H193" i="1"/>
  <c r="G169" i="1"/>
  <c r="C39" i="10" s="1"/>
  <c r="G140" i="1"/>
  <c r="F140" i="1"/>
  <c r="G63" i="2"/>
  <c r="G104" i="2" s="1"/>
  <c r="J618" i="1"/>
  <c r="G42" i="2"/>
  <c r="J51" i="1"/>
  <c r="G16" i="2"/>
  <c r="G18" i="2" s="1"/>
  <c r="J19" i="1"/>
  <c r="G621" i="1" s="1"/>
  <c r="F545" i="1"/>
  <c r="H434" i="1"/>
  <c r="J620" i="1"/>
  <c r="D103" i="2"/>
  <c r="D104" i="2" s="1"/>
  <c r="I140" i="1"/>
  <c r="I193" i="1" s="1"/>
  <c r="G630" i="1" s="1"/>
  <c r="J630" i="1" s="1"/>
  <c r="A22" i="12"/>
  <c r="H646" i="1"/>
  <c r="G50" i="2"/>
  <c r="G51" i="2" s="1"/>
  <c r="H648" i="1"/>
  <c r="J652" i="1"/>
  <c r="G571" i="1"/>
  <c r="I434" i="1"/>
  <c r="G434" i="1"/>
  <c r="I663" i="1"/>
  <c r="C27" i="10"/>
  <c r="G635" i="1"/>
  <c r="J635" i="1" s="1"/>
  <c r="L571" i="1" l="1"/>
  <c r="F193" i="1"/>
  <c r="G627" i="1" s="1"/>
  <c r="C36" i="10"/>
  <c r="L545" i="1"/>
  <c r="J648" i="1"/>
  <c r="F51" i="2"/>
  <c r="G36" i="14"/>
  <c r="H36" i="14" s="1"/>
  <c r="I36" i="14" s="1"/>
  <c r="J647" i="1"/>
  <c r="F660" i="1"/>
  <c r="L257" i="1"/>
  <c r="L271" i="1" s="1"/>
  <c r="G632" i="1" s="1"/>
  <c r="C81" i="2"/>
  <c r="E145" i="2"/>
  <c r="H660" i="1"/>
  <c r="H664" i="1" s="1"/>
  <c r="H667" i="1" s="1"/>
  <c r="L338" i="1"/>
  <c r="H472" i="1" s="1"/>
  <c r="G4" i="14"/>
  <c r="H4" i="14" s="1"/>
  <c r="I4" i="14" s="1"/>
  <c r="G629" i="1"/>
  <c r="H468" i="1"/>
  <c r="E104" i="2"/>
  <c r="F664" i="1"/>
  <c r="F672" i="1" s="1"/>
  <c r="C4" i="10" s="1"/>
  <c r="E33" i="13"/>
  <c r="D35" i="13" s="1"/>
  <c r="C115" i="2"/>
  <c r="C63" i="2"/>
  <c r="G24" i="14"/>
  <c r="H24" i="14" s="1"/>
  <c r="I24" i="14" s="1"/>
  <c r="G33" i="13"/>
  <c r="C144" i="2"/>
  <c r="C128" i="2"/>
  <c r="D31" i="13"/>
  <c r="C31" i="13" s="1"/>
  <c r="I461" i="1"/>
  <c r="H642" i="1" s="1"/>
  <c r="J642" i="1" s="1"/>
  <c r="G660" i="1"/>
  <c r="G664" i="1" s="1"/>
  <c r="G672" i="1" s="1"/>
  <c r="C5" i="10" s="1"/>
  <c r="C25" i="13"/>
  <c r="I33" i="13"/>
  <c r="K552" i="1"/>
  <c r="C28" i="10"/>
  <c r="D23" i="10" s="1"/>
  <c r="C51" i="2"/>
  <c r="G631" i="1"/>
  <c r="J631" i="1" s="1"/>
  <c r="J646" i="1"/>
  <c r="G193" i="1"/>
  <c r="G626" i="1"/>
  <c r="J626" i="1" s="1"/>
  <c r="J52" i="1"/>
  <c r="H621" i="1" s="1"/>
  <c r="J621" i="1" s="1"/>
  <c r="C38" i="10"/>
  <c r="F468" i="1" l="1"/>
  <c r="F470" i="1" s="1"/>
  <c r="C145" i="2"/>
  <c r="F472" i="1"/>
  <c r="H632" i="1" s="1"/>
  <c r="J632" i="1" s="1"/>
  <c r="C104" i="2"/>
  <c r="L352" i="1"/>
  <c r="G633" i="1" s="1"/>
  <c r="F667" i="1"/>
  <c r="H474" i="1"/>
  <c r="H633" i="1"/>
  <c r="J633" i="1" s="1"/>
  <c r="H470" i="1"/>
  <c r="H629" i="1"/>
  <c r="J629" i="1" s="1"/>
  <c r="G628" i="1"/>
  <c r="G468" i="1"/>
  <c r="I660" i="1"/>
  <c r="I664" i="1" s="1"/>
  <c r="I672" i="1" s="1"/>
  <c r="C7" i="10" s="1"/>
  <c r="D25" i="10"/>
  <c r="G667" i="1"/>
  <c r="H672" i="1"/>
  <c r="C6" i="10" s="1"/>
  <c r="D22" i="10"/>
  <c r="D18" i="10"/>
  <c r="D27" i="10"/>
  <c r="D15" i="10"/>
  <c r="D21" i="10"/>
  <c r="D24" i="10"/>
  <c r="D20" i="10"/>
  <c r="D11" i="10"/>
  <c r="D12" i="10"/>
  <c r="D13" i="10"/>
  <c r="D17" i="10"/>
  <c r="D19" i="10"/>
  <c r="D10" i="10"/>
  <c r="D26" i="10"/>
  <c r="C30" i="10"/>
  <c r="D16" i="10"/>
  <c r="D33" i="13"/>
  <c r="D36" i="13" s="1"/>
  <c r="C41" i="10"/>
  <c r="D38" i="10" s="1"/>
  <c r="H627" i="1" l="1"/>
  <c r="J627" i="1" s="1"/>
  <c r="F474" i="1"/>
  <c r="F476" i="1" s="1"/>
  <c r="H622" i="1" s="1"/>
  <c r="J622" i="1" s="1"/>
  <c r="H476" i="1"/>
  <c r="H624" i="1" s="1"/>
  <c r="J624" i="1" s="1"/>
  <c r="I667" i="1"/>
  <c r="G470" i="1"/>
  <c r="G476" i="1" s="1"/>
  <c r="H623" i="1" s="1"/>
  <c r="H628" i="1"/>
  <c r="J628" i="1" s="1"/>
  <c r="D28" i="10"/>
  <c r="D37" i="10"/>
  <c r="D36" i="10"/>
  <c r="D35" i="10"/>
  <c r="D40" i="10"/>
  <c r="D39" i="10"/>
  <c r="J623" i="1" l="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<sst xmlns="http://schemas.openxmlformats.org/spreadsheetml/2006/main" count="5510" uniqueCount="1614">
  <si>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</si>
  <si>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</si>
  <si>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</si>
  <si>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</si>
  <si>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</si>
  <si>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</si>
  <si>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</si>
  <si>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</si>
  <si>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</si>
  <si>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</si>
  <si>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</si>
  <si>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</si>
  <si>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</si>
  <si>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</si>
  <si>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</si>
  <si>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</si>
  <si>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</si>
  <si>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</si>
  <si>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</si>
  <si>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</si>
  <si>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</si>
  <si>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</si>
  <si>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</si>
  <si>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</si>
  <si>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</si>
  <si>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</si>
  <si>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</si>
  <si>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</si>
  <si>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</si>
  <si>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</si>
  <si>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</si>
  <si>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</si>
  <si>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</si>
  <si>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</si>
  <si>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</si>
  <si>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</si>
  <si>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</si>
  <si>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</si>
  <si>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</si>
  <si>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</si>
  <si>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</si>
  <si>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</si>
  <si>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</si>
  <si>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</si>
  <si>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</si>
  <si>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</si>
  <si>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</si>
  <si>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</si>
  <si>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</si>
  <si>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</si>
  <si>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</si>
  <si>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</si>
  <si>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</si>
  <si>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</si>
  <si>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</si>
  <si>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</si>
  <si>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</si>
  <si>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</si>
  <si>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</si>
  <si>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</si>
  <si>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</si>
  <si>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</si>
  <si>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</si>
  <si>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</si>
  <si>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</si>
  <si>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</si>
  <si>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</si>
  <si>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</si>
  <si>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</si>
  <si>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</si>
  <si>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</si>
  <si>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</si>
  <si>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</si>
  <si>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</si>
  <si>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</si>
  <si>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</si>
  <si>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</si>
  <si>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</si>
  <si>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</si>
  <si>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</si>
  <si>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</si>
  <si>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</si>
  <si>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</si>
  <si>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</si>
  <si>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</si>
  <si>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</si>
  <si>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</si>
  <si>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</si>
  <si>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</si>
  <si>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</si>
  <si>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</si>
  <si>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</si>
  <si>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</si>
  <si>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</si>
  <si>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</si>
  <si>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</si>
  <si>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</si>
  <si>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</si>
  <si>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</si>
  <si>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</si>
  <si>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</si>
  <si>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</si>
  <si>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</si>
  <si>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</si>
  <si>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</si>
  <si>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</si>
  <si>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</si>
  <si>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</si>
  <si>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</si>
  <si>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</si>
  <si>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</si>
  <si>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</si>
  <si>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</si>
  <si>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</si>
  <si>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</si>
  <si>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</si>
  <si>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</si>
  <si>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</si>
  <si>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</si>
  <si>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</si>
  <si>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</si>
  <si>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</si>
  <si>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</si>
  <si>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</si>
  <si>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</si>
  <si>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</si>
  <si>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</si>
  <si>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</si>
  <si>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</si>
  <si>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</si>
  <si>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</si>
  <si>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</si>
  <si>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</si>
  <si>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</si>
  <si>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</si>
  <si>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</si>
  <si>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</si>
  <si>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</si>
  <si>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</si>
  <si>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</si>
  <si>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</si>
  <si>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</si>
  <si>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</si>
  <si>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</si>
  <si>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</si>
  <si>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</si>
  <si>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</si>
  <si>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</si>
  <si>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</si>
  <si>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</si>
  <si>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</si>
  <si>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</si>
  <si>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</si>
  <si>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</si>
  <si>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</si>
  <si>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</si>
  <si>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</si>
  <si>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</si>
  <si>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</si>
  <si>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</si>
  <si>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</si>
  <si>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</si>
  <si>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</si>
  <si>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</si>
  <si>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</si>
  <si>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</si>
  <si>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</si>
  <si>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</si>
  <si>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</si>
  <si>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</si>
  <si>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</si>
  <si>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</si>
  <si>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</si>
  <si>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</si>
  <si>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</si>
  <si>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</si>
  <si>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</si>
  <si>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</si>
  <si>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</si>
  <si>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</si>
  <si>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</si>
  <si>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</si>
  <si>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</si>
  <si>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</si>
  <si>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</si>
  <si>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</si>
  <si>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</si>
  <si>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</si>
  <si>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</si>
  <si>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</si>
  <si>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</si>
  <si>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</si>
  <si>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</si>
  <si>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</si>
  <si>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</si>
  <si>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</si>
  <si>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</si>
  <si>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</si>
  <si>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</si>
  <si>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</si>
  <si>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</si>
  <si>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</si>
  <si>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</si>
  <si>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</si>
  <si>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</si>
  <si>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</si>
  <si>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</si>
  <si>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</si>
  <si>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</si>
  <si>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</si>
  <si>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</si>
  <si>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</si>
  <si>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</si>
  <si>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</si>
  <si>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</si>
  <si>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</si>
  <si>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</si>
  <si>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</si>
  <si>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</si>
  <si>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</si>
  <si>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</si>
  <si>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</si>
  <si>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</si>
  <si>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</si>
  <si>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</si>
  <si>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</si>
  <si>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</si>
  <si>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</si>
  <si>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</si>
  <si>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</si>
  <si>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</si>
  <si>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</si>
  <si>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</si>
  <si>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</si>
  <si>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</si>
  <si>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</si>
  <si>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</si>
  <si>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</si>
  <si>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</si>
  <si>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</si>
  <si>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</si>
  <si>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</si>
  <si>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</si>
  <si>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</si>
  <si>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</si>
  <si>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</si>
  <si>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</si>
  <si>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</si>
  <si>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</si>
  <si>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</si>
  <si>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</si>
  <si>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</si>
  <si>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</si>
  <si>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</si>
  <si>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</si>
  <si>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</si>
  <si>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</si>
  <si>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</si>
  <si>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</si>
  <si>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</si>
  <si>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</si>
  <si>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</si>
  <si>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</si>
  <si>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</si>
  <si>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</si>
  <si>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</si>
  <si>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</si>
  <si>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</si>
  <si>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</si>
  <si>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</si>
  <si>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</si>
  <si>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</si>
  <si>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</si>
  <si>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</si>
  <si>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</si>
  <si>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</si>
  <si>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</si>
  <si>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</si>
  <si>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</si>
  <si>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</si>
  <si>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</si>
  <si>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</si>
  <si>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</si>
  <si>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</si>
  <si>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</si>
  <si>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</si>
  <si>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</si>
  <si>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</si>
  <si>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</si>
  <si>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</si>
  <si>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</si>
  <si>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</si>
  <si>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</si>
  <si>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</si>
  <si>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</si>
  <si>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</si>
  <si>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</si>
  <si>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</si>
  <si>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</si>
  <si>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</si>
  <si>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</si>
  <si>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</si>
  <si>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</si>
  <si>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</si>
  <si>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</si>
  <si>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</si>
  <si>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</si>
  <si>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</si>
  <si>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</si>
  <si>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</si>
  <si>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</si>
  <si>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</si>
  <si>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</si>
  <si>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</si>
  <si>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</si>
  <si>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</si>
  <si>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</si>
  <si>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</si>
  <si>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</si>
  <si>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</si>
  <si>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</si>
  <si>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</si>
  <si>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</si>
  <si>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</si>
  <si>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</si>
  <si>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</si>
  <si>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</si>
  <si>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</si>
  <si>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</si>
  <si>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</si>
  <si>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</si>
  <si>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</si>
  <si>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</si>
  <si>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</si>
  <si>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</si>
  <si>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</si>
  <si>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</si>
  <si>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</si>
  <si>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</si>
  <si>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</si>
  <si>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</si>
  <si>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</si>
  <si>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</si>
  <si>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</si>
  <si>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</si>
  <si>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</si>
  <si>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</si>
  <si>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</si>
  <si>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</si>
  <si>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</si>
  <si>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</si>
  <si>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</si>
  <si>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</si>
  <si>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</si>
  <si>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</si>
  <si>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</si>
  <si>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</si>
  <si>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</si>
  <si>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</si>
  <si>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</si>
  <si>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</si>
  <si>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</si>
  <si>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</si>
  <si>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</si>
  <si>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</si>
  <si>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</si>
  <si>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</si>
  <si>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</si>
  <si>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</si>
  <si>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</si>
  <si>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</si>
  <si>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</si>
  <si>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</si>
  <si>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</si>
  <si>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</si>
  <si>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</si>
  <si>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</si>
  <si>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</si>
  <si>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</si>
  <si>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</si>
  <si>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</si>
  <si>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</si>
  <si>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</si>
  <si>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</si>
  <si>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</si>
  <si>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</si>
  <si>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</si>
  <si>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</si>
  <si>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</si>
  <si>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</si>
  <si>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</si>
  <si>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</si>
  <si>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</si>
  <si>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</si>
  <si>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</si>
  <si>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</si>
  <si>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</si>
  <si>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</si>
  <si>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</si>
  <si>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</si>
  <si>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</si>
  <si>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</si>
  <si>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</si>
  <si>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</si>
  <si>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</si>
  <si>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</si>
  <si>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</si>
  <si>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</si>
  <si>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</si>
  <si>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</si>
  <si>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</si>
  <si>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</si>
  <si>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</si>
  <si>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</si>
  <si>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</si>
  <si>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</si>
  <si>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</si>
  <si>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</si>
  <si>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</si>
  <si>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</si>
  <si>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</si>
  <si>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</si>
  <si>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</si>
  <si>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</si>
  <si>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</si>
  <si>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</si>
  <si>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</si>
  <si>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</si>
  <si>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</si>
  <si>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</si>
  <si>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</si>
  <si>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</si>
  <si>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</si>
  <si>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</si>
  <si>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</si>
  <si>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</si>
  <si>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</si>
  <si>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</si>
  <si>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</si>
  <si>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</si>
  <si>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</si>
  <si>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</si>
  <si>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</si>
  <si>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</si>
  <si>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</si>
  <si>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</si>
  <si>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</si>
  <si>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</si>
  <si>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</si>
  <si>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</si>
  <si>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</si>
  <si>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</si>
  <si>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</si>
  <si>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</si>
  <si>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</si>
  <si>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</si>
  <si>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</si>
  <si>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</si>
  <si>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</si>
  <si>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</si>
  <si>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</si>
  <si>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</si>
  <si>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</si>
  <si>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</si>
  <si>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</si>
  <si>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</si>
  <si>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</si>
  <si>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</si>
  <si>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</si>
  <si>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</si>
  <si>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</si>
  <si>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</si>
  <si>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</si>
  <si>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</si>
  <si>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</si>
  <si>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</si>
  <si>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</si>
  <si>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</si>
  <si>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</si>
  <si>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</si>
  <si>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</si>
  <si>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</si>
  <si>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</si>
  <si>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</si>
  <si>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</si>
  <si>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</si>
  <si>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</si>
  <si>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</si>
  <si>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</si>
  <si>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</si>
  <si>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</si>
  <si>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</si>
  <si>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</si>
  <si>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</si>
  <si>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</si>
  <si>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</si>
  <si>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</si>
  <si>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</si>
  <si>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</si>
  <si>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</si>
  <si>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</si>
  <si>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</si>
  <si>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</si>
  <si>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</si>
  <si>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</si>
  <si>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</si>
  <si>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</si>
  <si>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</si>
  <si>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</si>
  <si>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</si>
  <si>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</si>
  <si>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</si>
  <si>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</si>
  <si>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</si>
  <si>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</si>
  <si>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</si>
  <si>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</si>
  <si>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</si>
  <si>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</si>
  <si>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</si>
  <si>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</si>
  <si>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</si>
  <si>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</si>
  <si>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</si>
  <si>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</si>
  <si>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</si>
  <si>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</si>
  <si>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</si>
  <si>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</si>
  <si>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</si>
  <si>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</si>
  <si>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</si>
  <si>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</si>
  <si>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</si>
  <si>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</si>
  <si>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</si>
  <si>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</si>
  <si>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</si>
  <si>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</si>
  <si>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</si>
  <si>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</si>
  <si>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</si>
  <si>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</si>
  <si>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</si>
  <si>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</si>
  <si>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</si>
  <si>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</si>
  <si>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</si>
  <si>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</si>
  <si>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</si>
  <si>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</si>
  <si>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</si>
  <si>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</si>
  <si>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</si>
  <si>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</si>
  <si>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</si>
  <si>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</si>
  <si>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</si>
  <si>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</si>
  <si>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</si>
  <si>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</si>
  <si>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</si>
  <si>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</si>
  <si>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</si>
  <si>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</si>
  <si>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</si>
  <si>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</si>
  <si>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</si>
  <si>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</si>
  <si>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</si>
  <si>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</si>
  <si>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</si>
  <si>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</si>
  <si>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</si>
  <si>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</si>
  <si>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</si>
  <si>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</si>
  <si>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</si>
  <si>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</si>
  <si>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</si>
  <si>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</si>
  <si>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</si>
  <si>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</si>
  <si>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</si>
  <si>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</si>
  <si>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</si>
  <si>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</si>
  <si>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</si>
  <si>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</si>
  <si>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</si>
  <si>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</si>
  <si>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</si>
  <si>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</si>
  <si>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</si>
  <si>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</si>
  <si>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</si>
  <si>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</si>
  <si>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</si>
  <si>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</si>
  <si>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</si>
  <si>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</si>
  <si>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</si>
  <si>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</si>
  <si>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</si>
  <si>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</si>
  <si>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</si>
  <si>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</si>
  <si>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</si>
  <si>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</si>
  <si>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</si>
  <si>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</si>
  <si>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</si>
  <si>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</si>
  <si>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</si>
  <si>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</si>
  <si>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</si>
  <si>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</si>
  <si>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</si>
  <si>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</si>
  <si>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</si>
  <si>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</si>
  <si>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</si>
  <si>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</si>
  <si>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</si>
  <si>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</si>
  <si>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</si>
  <si>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</si>
  <si>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</si>
  <si>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</si>
  <si>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</si>
  <si>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</si>
  <si>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</si>
  <si>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</si>
  <si>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</si>
  <si>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</si>
  <si>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</si>
  <si>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</si>
  <si>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</si>
  <si>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</si>
  <si>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</si>
  <si>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</si>
  <si>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</si>
  <si>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</si>
  <si>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</si>
  <si>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</si>
  <si>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</si>
  <si>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</si>
  <si>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</si>
  <si>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</si>
  <si>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</si>
  <si>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</si>
  <si>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</si>
  <si>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</si>
  <si>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</si>
  <si>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</si>
  <si>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</si>
  <si>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</si>
  <si>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</si>
  <si>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</si>
  <si>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</si>
  <si>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</si>
  <si>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</si>
  <si>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</si>
  <si>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</si>
  <si>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</si>
  <si>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</si>
  <si>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</si>
  <si>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</si>
  <si>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</si>
  <si>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</si>
  <si>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</si>
  <si>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</si>
  <si>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</si>
  <si>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</si>
  <si>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</si>
  <si>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</si>
  <si>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</si>
  <si>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</si>
  <si>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</si>
  <si>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</si>
  <si>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</si>
  <si>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</si>
  <si>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</si>
  <si>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</si>
  <si>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</si>
  <si>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</si>
  <si>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</si>
  <si>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</si>
  <si>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</si>
  <si>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</si>
  <si>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</si>
  <si>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</si>
  <si>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</si>
  <si>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</si>
  <si>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</si>
  <si>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</si>
  <si>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</si>
  <si>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</si>
  <si>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</si>
  <si>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</si>
  <si>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</si>
  <si>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</si>
  <si>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</si>
  <si>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</si>
  <si>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</si>
  <si>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</si>
  <si>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</si>
  <si>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</si>
  <si>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</si>
  <si>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</si>
  <si>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</si>
  <si>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</si>
  <si>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</si>
  <si>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</si>
  <si>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</si>
  <si>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</si>
  <si>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</si>
  <si>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</si>
  <si>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</si>
  <si>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</si>
  <si>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</si>
  <si>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</si>
  <si>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</si>
  <si>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</si>
  <si>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</si>
  <si>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</si>
  <si>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</si>
  <si>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</si>
  <si>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</si>
  <si>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</si>
  <si>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</si>
  <si>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</si>
  <si>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</si>
  <si>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</si>
  <si>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</si>
  <si>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</si>
  <si>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</si>
  <si>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</si>
  <si>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</si>
  <si>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</si>
  <si>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</si>
  <si>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</si>
  <si>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</si>
  <si>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</si>
  <si>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</si>
  <si>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</si>
  <si>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</si>
  <si>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</si>
  <si>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</si>
  <si>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</si>
  <si>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</si>
  <si>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</si>
  <si>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</si>
  <si>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</si>
  <si>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</si>
  <si>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</si>
  <si>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</si>
  <si>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</si>
  <si>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</si>
  <si>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</si>
  <si>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</si>
  <si>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</si>
  <si>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</si>
  <si>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</si>
  <si>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</si>
  <si>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</si>
  <si>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</si>
  <si>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</si>
  <si>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</si>
  <si>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</si>
  <si>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</si>
  <si>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</si>
  <si>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</si>
  <si>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</si>
  <si>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</si>
  <si>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</si>
  <si>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</si>
  <si>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</si>
  <si>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</si>
  <si>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</si>
  <si>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</si>
  <si>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</si>
  <si>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</si>
  <si>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</si>
  <si>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</si>
  <si>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</si>
  <si>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</si>
  <si>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</si>
  <si>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</si>
  <si>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</si>
  <si>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</si>
  <si>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</si>
  <si>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</si>
  <si>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</si>
  <si>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</si>
  <si>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</si>
  <si>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</si>
  <si>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</si>
  <si>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</si>
  <si>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</si>
  <si>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</si>
  <si>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</si>
  <si>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</si>
  <si>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</si>
  <si>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</si>
  <si>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</si>
  <si>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</si>
  <si>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</si>
  <si>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</si>
  <si>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</si>
  <si>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</si>
  <si>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</si>
  <si>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</si>
  <si>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</si>
  <si>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</si>
  <si>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</si>
  <si>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</si>
  <si>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</si>
  <si>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</si>
  <si>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</si>
  <si>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</si>
  <si>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</si>
  <si>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</si>
  <si>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</si>
  <si>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</si>
  <si>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</si>
  <si>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</si>
  <si>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</si>
  <si>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</si>
  <si>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</si>
  <si>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</si>
  <si>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</si>
  <si>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</si>
  <si>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</si>
  <si>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</si>
  <si>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</si>
  <si>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</si>
  <si>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</si>
  <si>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</si>
  <si>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</si>
  <si>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</si>
  <si>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</si>
  <si>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</si>
  <si>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</si>
  <si>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</si>
  <si>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</si>
  <si>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</si>
  <si>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</si>
  <si>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</si>
  <si>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</si>
  <si>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</si>
  <si>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</si>
  <si>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</si>
  <si>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</si>
  <si>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</si>
  <si>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</si>
  <si>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</si>
  <si>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</si>
  <si>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</si>
  <si>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</si>
  <si>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</si>
  <si>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</si>
  <si>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</si>
  <si>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</si>
  <si>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</si>
  <si>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</si>
  <si>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</si>
  <si>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</si>
  <si>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</si>
  <si>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</si>
  <si>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</si>
  <si>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</si>
  <si>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</si>
  <si>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</si>
  <si>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</si>
  <si>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</si>
  <si>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</si>
  <si>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</si>
  <si>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</si>
  <si>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</si>
  <si>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</si>
  <si>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</si>
  <si>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</si>
  <si>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</si>
  <si>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</si>
  <si>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</si>
  <si>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</si>
  <si>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</si>
  <si>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</si>
  <si>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</si>
  <si>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</si>
  <si>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</si>
  <si>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</si>
  <si>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</si>
  <si>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</si>
  <si>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</si>
  <si>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</si>
  <si>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</si>
  <si>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</si>
  <si>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</si>
  <si>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</si>
  <si>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</si>
  <si>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</si>
  <si>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</si>
  <si>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</si>
  <si>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</si>
  <si>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</si>
  <si>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</si>
  <si>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</si>
  <si>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</si>
  <si>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</si>
  <si>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</si>
  <si>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</si>
  <si>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</si>
  <si>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</si>
  <si>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</si>
  <si>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</si>
  <si>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</si>
  <si>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</si>
  <si>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</si>
  <si>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</si>
  <si>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</si>
  <si>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</si>
  <si>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</si>
  <si>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</si>
  <si>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</si>
  <si>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</si>
  <si>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</si>
  <si>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</si>
  <si>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</si>
  <si>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</si>
  <si>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</si>
  <si>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</si>
  <si>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</si>
  <si>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</si>
  <si>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</si>
  <si>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</si>
  <si>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</si>
  <si>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</si>
  <si>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</si>
  <si>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</si>
  <si>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</si>
  <si>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</si>
  <si>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</si>
  <si>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</si>
  <si>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</si>
  <si>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</si>
  <si>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</si>
  <si>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</si>
  <si>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</si>
  <si>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</si>
  <si>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</si>
  <si>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</si>
  <si>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</si>
  <si>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</si>
  <si>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</si>
  <si>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</si>
  <si>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</si>
  <si>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</si>
  <si>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</si>
  <si>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</si>
  <si>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</si>
  <si>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</si>
  <si>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</si>
  <si>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</si>
  <si>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</si>
  <si>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</si>
  <si>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</si>
  <si>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</si>
  <si>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</si>
  <si>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</si>
  <si>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</si>
  <si>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</si>
  <si>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</si>
  <si>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</si>
  <si>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</si>
  <si>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</si>
  <si>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</si>
  <si>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</si>
  <si>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</si>
  <si>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</si>
  <si>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</si>
  <si>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</si>
  <si>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</si>
  <si>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</si>
  <si>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</si>
  <si>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</si>
  <si>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</si>
  <si>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</si>
  <si>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</si>
  <si>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</si>
  <si>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</si>
  <si>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</si>
  <si>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</si>
  <si>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</si>
  <si>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</si>
  <si>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</si>
  <si>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</si>
  <si>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</si>
  <si>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</si>
  <si>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</si>
  <si>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</si>
  <si>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</si>
  <si>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</si>
  <si>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</si>
  <si>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</si>
  <si>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</si>
  <si>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</si>
  <si>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</si>
  <si>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</si>
  <si>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</si>
  <si>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</si>
  <si>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</si>
  <si>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</si>
  <si>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</si>
  <si>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</si>
  <si>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</si>
  <si>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</si>
  <si>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</si>
  <si>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</si>
  <si>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</si>
  <si>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</si>
  <si>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</si>
  <si>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</si>
  <si>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</si>
  <si>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</si>
  <si>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</si>
  <si>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</si>
  <si>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</si>
  <si>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</si>
  <si>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</si>
  <si>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</si>
  <si>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</si>
  <si>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</si>
  <si>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</si>
  <si>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</si>
  <si>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</si>
  <si>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</si>
  <si>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</si>
  <si>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</si>
  <si>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</si>
  <si>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</si>
  <si>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</si>
  <si>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</si>
  <si>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</si>
  <si>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</si>
  <si>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</si>
  <si>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</si>
  <si>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</si>
  <si>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</si>
  <si>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</si>
  <si>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</si>
  <si>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</si>
  <si>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</si>
  <si>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</si>
  <si>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</si>
  <si>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</si>
  <si>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</si>
  <si>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</si>
  <si>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</si>
  <si>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</si>
  <si>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</si>
  <si>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</si>
  <si>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</si>
  <si>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</si>
  <si>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</si>
  <si>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</si>
  <si>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</si>
  <si>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</si>
  <si>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</si>
  <si>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</si>
  <si>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</si>
  <si>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</si>
  <si>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</si>
  <si>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</si>
  <si>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</si>
  <si>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</si>
  <si>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</si>
  <si>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</si>
  <si>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</si>
  <si>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</si>
  <si>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</si>
  <si>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</si>
  <si>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</si>
  <si>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</si>
  <si>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</si>
  <si>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</si>
  <si>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</si>
  <si>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</si>
  <si>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</si>
  <si>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</si>
  <si>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</si>
  <si>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</si>
  <si>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</si>
  <si>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</si>
  <si>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</si>
  <si>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</si>
  <si>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</si>
  <si>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</si>
  <si>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</si>
  <si>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</si>
  <si>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</si>
  <si>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</si>
  <si>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</si>
  <si>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</si>
  <si>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</si>
  <si>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</si>
  <si>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</si>
  <si>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</si>
  <si>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</si>
  <si>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</si>
  <si>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</si>
  <si>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</si>
  <si>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</si>
  <si>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</si>
  <si>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</si>
  <si>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</si>
  <si>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</si>
  <si>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</si>
  <si>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</si>
  <si>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</si>
  <si>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</si>
  <si>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</si>
  <si>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</si>
  <si>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</si>
  <si>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</si>
  <si>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</si>
  <si>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</si>
  <si>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</si>
  <si>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</si>
  <si>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</si>
  <si>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</si>
  <si>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</si>
  <si>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</si>
  <si>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</si>
  <si>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</si>
  <si>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</si>
  <si>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</si>
  <si>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</si>
  <si>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</si>
  <si>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</si>
  <si>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</si>
  <si>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</si>
  <si>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</si>
  <si>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</si>
  <si>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</si>
  <si>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</si>
  <si>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</si>
  <si>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</si>
  <si>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</si>
  <si>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</si>
  <si>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</si>
  <si>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</si>
  <si>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</si>
  <si>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</si>
  <si>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</si>
  <si>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</si>
  <si>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</si>
  <si>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</si>
  <si>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</si>
  <si>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</si>
  <si>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</si>
  <si>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</si>
  <si>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</si>
  <si>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</si>
  <si>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</si>
  <si>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</si>
  <si>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</si>
  <si>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</si>
  <si>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</si>
  <si>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</si>
  <si>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</si>
  <si>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</si>
  <si>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</si>
  <si>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</si>
  <si>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</si>
  <si>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</si>
  <si>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</si>
  <si>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</si>
  <si>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</si>
  <si>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</si>
  <si>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</si>
  <si>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</si>
  <si>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</si>
  <si>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</si>
  <si>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</si>
  <si>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</si>
  <si>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</si>
  <si>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</si>
  <si>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</si>
  <si>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</si>
  <si>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</si>
  <si>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</si>
  <si>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</si>
  <si>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</si>
  <si>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</si>
  <si>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</si>
  <si>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</si>
  <si>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</si>
  <si>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</si>
  <si>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</si>
  <si>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</si>
  <si>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</si>
  <si>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</si>
  <si>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</si>
  <si>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</si>
  <si>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</si>
  <si>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</si>
  <si>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</si>
  <si>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</si>
  <si>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</si>
  <si>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</si>
  <si>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</si>
  <si>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</si>
  <si>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</si>
  <si>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</si>
  <si>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</si>
  <si>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</si>
  <si>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</si>
  <si>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</si>
  <si>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</si>
  <si>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</si>
  <si>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</si>
  <si>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</si>
  <si>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</si>
  <si>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</si>
  <si>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</si>
  <si>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</si>
  <si>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</si>
  <si>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</si>
  <si>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</si>
  <si>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</si>
  <si>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</si>
  <si>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</si>
  <si>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</si>
  <si>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</si>
  <si>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</si>
  <si>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</si>
  <si>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</si>
  <si>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</si>
  <si>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</si>
  <si>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</si>
  <si>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</si>
  <si>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</si>
  <si>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</si>
  <si>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</si>
  <si>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</si>
  <si>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</si>
  <si>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</si>
  <si>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</si>
  <si>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</si>
  <si>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</si>
  <si>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</si>
  <si>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</si>
  <si>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</si>
  <si>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</si>
  <si>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</si>
  <si>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</si>
  <si>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</si>
  <si>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</si>
  <si>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</si>
  <si>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</si>
  <si>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</si>
  <si>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</si>
  <si>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</si>
  <si>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</si>
  <si>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</si>
  <si>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</si>
  <si>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</si>
  <si>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</si>
  <si>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</si>
  <si>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</si>
  <si>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</si>
  <si>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</si>
  <si>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</si>
  <si>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</si>
  <si>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</si>
  <si>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</si>
  <si>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</si>
  <si>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</si>
  <si>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</si>
  <si>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</si>
  <si>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</si>
  <si>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</si>
  <si>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</si>
  <si>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</si>
  <si>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</si>
  <si>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</si>
  <si>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</si>
  <si>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</si>
  <si>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</si>
  <si>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</si>
  <si>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</si>
  <si>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</si>
  <si>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</si>
  <si>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</si>
  <si>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</si>
  <si>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</si>
  <si>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</si>
  <si>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</si>
  <si>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</si>
  <si>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</si>
  <si>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</si>
  <si>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</si>
  <si>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</si>
  <si>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</si>
  <si>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</si>
  <si>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</si>
  <si>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</si>
  <si>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</si>
  <si>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</si>
  <si>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</si>
  <si>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</si>
  <si>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</si>
  <si>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</si>
  <si>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</si>
  <si>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</si>
  <si>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</si>
  <si>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</si>
  <si>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</si>
  <si>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</si>
  <si>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</si>
  <si>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</si>
  <si>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</si>
  <si>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</si>
  <si>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</si>
  <si>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</si>
  <si>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</si>
  <si>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</si>
  <si>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</si>
  <si>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</si>
  <si>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</si>
  <si>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</si>
  <si>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</si>
  <si>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</si>
  <si>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</si>
  <si>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</si>
  <si>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</si>
  <si>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</si>
  <si>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</si>
  <si>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</si>
  <si>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</si>
  <si>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</si>
  <si>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</si>
  <si>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</si>
  <si>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</si>
  <si>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</si>
  <si>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</si>
  <si>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</si>
  <si>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</si>
  <si>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</si>
  <si>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</si>
  <si>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</si>
  <si>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</si>
  <si>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</si>
  <si>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</si>
  <si>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</si>
  <si>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</si>
  <si>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</si>
  <si>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</si>
  <si>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</si>
  <si>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</si>
  <si>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</si>
  <si>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</si>
  <si>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</si>
  <si>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</si>
  <si>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</si>
  <si>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</si>
  <si>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</si>
  <si>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</si>
  <si>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</si>
  <si>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</si>
  <si>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</si>
  <si>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</si>
  <si>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</si>
  <si>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</si>
  <si>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</si>
  <si>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</si>
  <si>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</si>
  <si>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</si>
  <si>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</si>
  <si>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</si>
  <si>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</si>
  <si>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</si>
  <si>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</si>
  <si>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</si>
  <si>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</si>
  <si>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</si>
  <si>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</si>
  <si>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</si>
  <si>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</si>
  <si>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</si>
  <si>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</si>
  <si>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</si>
  <si>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</si>
  <si>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</si>
  <si>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</si>
  <si>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</si>
  <si>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</si>
  <si>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</si>
  <si>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</si>
  <si>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</si>
  <si>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</si>
  <si>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</si>
  <si>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</si>
  <si>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</si>
  <si>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</si>
  <si>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</si>
  <si>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</si>
  <si>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</si>
  <si>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</si>
  <si>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</si>
  <si>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</si>
  <si>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</si>
  <si>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</si>
  <si>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</si>
  <si>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</si>
  <si>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</si>
  <si>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</si>
  <si>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</si>
  <si>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</si>
  <si>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</si>
  <si>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</si>
  <si>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</si>
  <si>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</si>
  <si>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</si>
  <si>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</si>
  <si>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</si>
  <si>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</si>
  <si>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</si>
  <si>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</si>
  <si>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</si>
  <si>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</si>
  <si>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</si>
  <si>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</si>
  <si>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</si>
  <si>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</si>
  <si>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</si>
  <si>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</si>
  <si>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</si>
  <si>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</si>
  <si>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</si>
  <si>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</si>
  <si>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</si>
  <si>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</si>
  <si>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</si>
  <si>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</si>
  <si>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</si>
  <si>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</si>
  <si>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</si>
  <si>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</si>
  <si>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</si>
  <si>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</si>
  <si>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</si>
  <si>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</si>
  <si>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</si>
  <si>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</si>
  <si>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</si>
  <si>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</si>
  <si>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</si>
  <si>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</si>
  <si>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</si>
  <si>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</si>
  <si>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</si>
  <si>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</si>
  <si>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</si>
  <si>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</si>
  <si>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</si>
  <si>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</si>
  <si>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</si>
  <si>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</si>
  <si>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</si>
  <si>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</si>
  <si>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</si>
  <si>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</si>
  <si>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</si>
  <si>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</si>
  <si>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</si>
  <si>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</si>
  <si>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</si>
  <si>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</si>
  <si>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</si>
  <si>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</si>
  <si>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</si>
  <si>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</si>
  <si>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</si>
  <si>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</si>
  <si>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</si>
  <si>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</si>
  <si>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</si>
  <si>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</si>
  <si>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</si>
  <si>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</si>
  <si>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</si>
  <si>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</si>
  <si>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</si>
  <si>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</si>
  <si>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</si>
  <si>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</si>
  <si>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</si>
  <si>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</si>
  <si>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</si>
  <si>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</si>
  <si>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</si>
  <si>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</si>
  <si>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</si>
  <si>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</si>
  <si>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</si>
  <si>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</si>
  <si>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</si>
  <si>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</si>
  <si>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</si>
  <si>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</si>
  <si>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</si>
  <si>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</si>
  <si>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</si>
  <si>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</si>
  <si>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</si>
  <si>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</si>
  <si>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</si>
  <si>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</si>
  <si>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</si>
  <si>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</si>
  <si>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</si>
  <si>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</si>
  <si>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</si>
  <si>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</si>
  <si>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</si>
  <si>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</si>
  <si>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</si>
  <si>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</si>
  <si>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</si>
  <si>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</si>
  <si>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</si>
  <si>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</si>
  <si>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</si>
  <si>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</si>
  <si>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</si>
  <si>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</si>
  <si>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</si>
  <si>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</si>
  <si>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</si>
  <si>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</si>
  <si>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</si>
  <si>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</si>
  <si>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</si>
  <si>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</si>
  <si>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</si>
  <si>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</si>
  <si>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</si>
  <si>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</si>
  <si>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</si>
  <si>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</si>
  <si>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</si>
  <si>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</si>
  <si>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</si>
  <si>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</si>
  <si>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</si>
  <si>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</si>
  <si>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</si>
  <si>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</si>
  <si>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</si>
  <si>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</si>
  <si>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</si>
  <si>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</si>
  <si>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</si>
  <si>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</si>
  <si>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</si>
  <si>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</si>
  <si>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</si>
  <si>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</si>
  <si>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</si>
  <si>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</si>
  <si>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</si>
  <si>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</si>
  <si>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</si>
  <si>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</si>
  <si>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</si>
  <si>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</si>
  <si>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</si>
  <si>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</si>
  <si>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</si>
  <si>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</si>
  <si>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</si>
  <si>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</si>
  <si>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</si>
  <si>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</si>
  <si>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</si>
  <si>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</si>
  <si>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</si>
  <si>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</si>
  <si>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</si>
  <si>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</si>
  <si>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</si>
  <si>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</si>
  <si>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</si>
  <si>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</si>
  <si>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</si>
  <si>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</si>
  <si>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</si>
  <si>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</si>
  <si>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</si>
  <si>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</si>
  <si>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</si>
  <si>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</si>
  <si>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</si>
  <si>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</si>
  <si>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</si>
  <si>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</si>
  <si>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</si>
  <si>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NEWPORT SCHOOL DISTRICT</t>
  </si>
  <si>
    <t>Correct prior period fund balance</t>
  </si>
  <si>
    <t>8/15/2007</t>
  </si>
  <si>
    <t>8/5/2027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</si>
</sst>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636"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401</v>
      </c>
      <c r="C2" s="21">
        <v>401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1289694+5000</f>
        <v>1294694</v>
      </c>
      <c r="G9" s="18">
        <v>200</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131459</v>
      </c>
      <c r="G12" s="18">
        <v>12862</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110388</v>
      </c>
      <c r="G13" s="18">
        <v>10357</v>
      </c>
      <c r="H13" s="18">
        <v>181413</v>
      </c>
      <c r="I13" s="18"/>
      <c r="J13" s="67">
        <f>SUM(I442)</f>
        <v>404826</v>
      </c>
      <c r="K13" s="24" t="s">
        <v>288</v>
      </c>
      <c r="L13" s="24" t="s">
        <v>288</v>
      </c>
      <c r="M13" s="8"/>
      <c r="N13" s="266"/>
    </row>
    <row r="14" spans="1:14" s="3" customFormat="1" ht="12.2" customHeight="1" x14ac:dyDescent="0.15">
      <c r="A14" s="1" t="s">
        <v>565</v>
      </c>
      <c r="B14" s="2" t="s">
        <v>289</v>
      </c>
      <c r="C14" s="6">
        <v>6</v>
      </c>
      <c r="D14" s="2" t="s">
        <v>428</v>
      </c>
      <c r="E14" s="6">
        <v>150</v>
      </c>
      <c r="F14" s="18">
        <v>28</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24740</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2100</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1538669</v>
      </c>
      <c r="G19" s="41">
        <f>SUM(G9:G18)</f>
        <v>48159</v>
      </c>
      <c r="H19" s="41">
        <f>SUM(H9:H18)</f>
        <v>181413</v>
      </c>
      <c r="I19" s="41">
        <f>SUM(I9:I18)</f>
        <v>0</v>
      </c>
      <c r="J19" s="41">
        <f>SUM(J9:J18)</f>
        <v>404826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144322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780798+276367</f>
        <v>1057165</v>
      </c>
      <c r="G24" s="18">
        <v>2391</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21211-8096</f>
        <v>13115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14807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v>4037</v>
      </c>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1070280</v>
      </c>
      <c r="G32" s="41">
        <f>SUM(G22:G31)</f>
        <v>21235</v>
      </c>
      <c r="H32" s="41">
        <f>SUM(H22:H31)</f>
        <v>144322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24740</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2184</v>
      </c>
      <c r="H48" s="18">
        <v>37091</v>
      </c>
      <c r="I48" s="18"/>
      <c r="J48" s="13">
        <f>SUM(I459)</f>
        <v>404826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468389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468389</v>
      </c>
      <c r="G51" s="41">
        <f>SUM(G35:G50)</f>
        <v>26924</v>
      </c>
      <c r="H51" s="41">
        <f>SUM(H35:H50)</f>
        <v>37091</v>
      </c>
      <c r="I51" s="41">
        <f>SUM(I35:I50)</f>
        <v>0</v>
      </c>
      <c r="J51" s="41">
        <f>SUM(J35:J50)</f>
        <v>404826</v>
      </c>
      <c r="K51" s="45" t="s">
        <v>288</v>
      </c>
      <c r="L51" s="45" t="s">
        <v>288</v>
      </c>
      <c r="N51" s="264"/>
    </row>
    <row r="52" spans="1:14" s="3" customFormat="1" ht="12.2" customHeight="1" thickTop="1" x14ac:dyDescent="0.15">
      <c r="A52" s="38" t="s">
        <v>455</v>
      </c>
      <c r="B52" s="39" t="s">
        <v>289</v>
      </c>
      <c r="C52" s="6">
        <v>37</v>
      </c>
      <c r="D52" s="39" t="s">
        <v>653</v>
      </c>
      <c r="E52" s="39"/>
      <c r="F52" s="41">
        <f>F51+F32</f>
        <v>1538669</v>
      </c>
      <c r="G52" s="41">
        <f>G51+G32</f>
        <v>48159</v>
      </c>
      <c r="H52" s="41">
        <f>H51+H32</f>
        <v>181413</v>
      </c>
      <c r="I52" s="41">
        <f>I51+I32</f>
        <v>0</v>
      </c>
      <c r="J52" s="41">
        <f>J51+J32</f>
        <v>404826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6376032-894585+417712</f>
        <v>5899159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5899159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1323705+3657-1312028</f>
        <v>15334</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130082+91166+1521681+15416-4738+105574+84000+84270+13772+251851-417712</f>
        <v>1875362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f>368+851</f>
        <v>1219</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1891915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525</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23052</v>
      </c>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84</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23661</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30203</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144572+55</f>
        <v>144627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f>17501+1984+5350+55810+6704</f>
        <v>87349</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175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26815+138736-4244+2-18903-2988</f>
        <v>139418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257145</v>
      </c>
      <c r="G111" s="41">
        <f>SUM(G96:G110)</f>
        <v>144627</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8071880</v>
      </c>
      <c r="G112" s="41">
        <f>G60+G111</f>
        <v>144627</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5209225+1301452</f>
        <v>6510677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894585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-14619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7390643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339730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f>42303+10576</f>
        <v>52879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196629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18903</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2988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4244+878</f>
        <v>5122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611129</v>
      </c>
      <c r="G136" s="41">
        <f>SUM(G123:G135)</f>
        <v>5122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8001772</v>
      </c>
      <c r="G140" s="41">
        <f>G121+SUM(G136:G137)</f>
        <v>5122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199312+15297+111154+28361+25100+354653</f>
        <v>733877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37227+73273+53793+16057+20623+4968+1217+48494+140353-178945</f>
        <v>217060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53369+13256</f>
        <v>66625</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234442-570-4244-878</f>
        <v>228750</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178945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334749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9426</v>
      </c>
      <c r="G161" s="18">
        <v>25206</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344175</v>
      </c>
      <c r="G162" s="41">
        <f>SUM(G150:G161)</f>
        <v>253956</v>
      </c>
      <c r="H162" s="41">
        <f>SUM(H150:H161)</f>
        <v>1196507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344175</v>
      </c>
      <c r="G169" s="41">
        <f>G147+G162+SUM(G163:G168)</f>
        <v>253956</v>
      </c>
      <c r="H169" s="41">
        <f>H147+H162+SUM(H163:H168)</f>
        <v>1196507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16417827</v>
      </c>
      <c r="G193" s="47">
        <f>G112+G140+G169+G192</f>
        <v>403705</v>
      </c>
      <c r="H193" s="47">
        <f>H112+H140+H169+H192</f>
        <v>1196507</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1261908+99096</f>
        <v>1361004</v>
      </c>
      <c r="G197" s="18">
        <f>820212+43728</f>
        <v>863940</v>
      </c>
      <c r="H197" s="18">
        <f>1798</f>
        <v>1798</v>
      </c>
      <c r="I197" s="18">
        <f>45838</f>
        <v>45838</v>
      </c>
      <c r="J197" s="18">
        <f>2802</f>
        <v>2802</v>
      </c>
      <c r="K197" s="18">
        <f>1200</f>
        <v>1200</v>
      </c>
      <c r="L197" s="19">
        <f>SUM(F197:K197)</f>
        <v>2276582</v>
      </c>
      <c r="M197" s="8"/>
      <c r="N197" s="266"/>
    </row>
    <row r="198" spans="1:14" s="3" customFormat="1" ht="12.2" customHeight="1" x14ac:dyDescent="0.15">
      <c r="A198" s="1" t="s">
        <v>439</v>
      </c>
      <c r="B198" s="2" t="s">
        <v>341</v>
      </c>
      <c r="C198" s="2" t="s">
        <v>291</v>
      </c>
      <c r="D198" s="2" t="s">
        <v>431</v>
      </c>
      <c r="E198" s="6">
        <v>1200</v>
      </c>
      <c r="F198" s="18">
        <f>803202+4555</f>
        <v>807757</v>
      </c>
      <c r="G198" s="18">
        <f>325419+373</f>
        <v>325792</v>
      </c>
      <c r="H198" s="18">
        <f>415801+73256</f>
        <v>489057</v>
      </c>
      <c r="I198" s="18">
        <f>4560+194</f>
        <v>4754</v>
      </c>
      <c r="J198" s="18">
        <v>2014</v>
      </c>
      <c r="K198" s="18">
        <f>161</f>
        <v>161</v>
      </c>
      <c r="L198" s="19">
        <f>SUM(F198:K198)</f>
        <v>1629535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5710</f>
        <v>5710</v>
      </c>
      <c r="G200" s="18">
        <f>1382</f>
        <v>1382</v>
      </c>
      <c r="H200" s="18"/>
      <c r="I200" s="18"/>
      <c r="J200" s="18"/>
      <c r="K200" s="18"/>
      <c r="L200" s="19">
        <f>SUM(F200:K200)</f>
        <v>7092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303008+102788</f>
        <v>405796</v>
      </c>
      <c r="G202" s="18">
        <f>164723+43617</f>
        <v>208340</v>
      </c>
      <c r="H202" s="18">
        <f>24500+67881</f>
        <v>92381</v>
      </c>
      <c r="I202" s="18">
        <v>3105</v>
      </c>
      <c r="J202" s="18"/>
      <c r="K202" s="18"/>
      <c r="L202" s="19">
        <f t="shared" ref="L202:L208" si="0">SUM(F202:K202)</f>
        <v>709622</v>
      </c>
      <c r="M202" s="8"/>
      <c r="N202" s="266"/>
    </row>
    <row r="203" spans="1:14" s="3" customFormat="1" ht="12.2" customHeight="1" x14ac:dyDescent="0.15">
      <c r="A203" s="1" t="s">
        <v>443</v>
      </c>
      <c r="B203" s="2" t="s">
        <v>341</v>
      </c>
      <c r="C203" s="2" t="s">
        <v>295</v>
      </c>
      <c r="D203" s="2" t="s">
        <v>431</v>
      </c>
      <c r="E203" s="6">
        <v>2200</v>
      </c>
      <c r="F203" s="18">
        <f>110720</f>
        <v>110720</v>
      </c>
      <c r="G203" s="18">
        <f>1475+55539</f>
        <v>57014</v>
      </c>
      <c r="H203" s="18">
        <f>59519+8663</f>
        <v>68182</v>
      </c>
      <c r="I203" s="18">
        <f>16377+6008</f>
        <v>22385</v>
      </c>
      <c r="J203" s="18">
        <f>36484+24123</f>
        <v>60607</v>
      </c>
      <c r="K203" s="18">
        <f>310</f>
        <v>310</v>
      </c>
      <c r="L203" s="19">
        <f t="shared" si="0"/>
        <v>319218</v>
      </c>
      <c r="M203" s="8"/>
      <c r="N203" s="266"/>
    </row>
    <row r="204" spans="1:14" s="3" customFormat="1" ht="12.2" customHeight="1" x14ac:dyDescent="0.15">
      <c r="A204" s="1" t="s">
        <v>444</v>
      </c>
      <c r="B204" s="2" t="s">
        <v>341</v>
      </c>
      <c r="C204" s="2" t="s">
        <v>296</v>
      </c>
      <c r="D204" s="2" t="s">
        <v>431</v>
      </c>
      <c r="E204" s="6">
        <v>2300</v>
      </c>
      <c r="F204" s="18">
        <f>69419+133769</f>
        <v>203188</v>
      </c>
      <c r="G204" s="18">
        <f>43811+70824</f>
        <v>114635</v>
      </c>
      <c r="H204" s="18">
        <v>41072</v>
      </c>
      <c r="I204" s="18">
        <v>1458</v>
      </c>
      <c r="J204" s="18">
        <v>790</v>
      </c>
      <c r="K204" s="18">
        <v>5244</v>
      </c>
      <c r="L204" s="19">
        <f t="shared" si="0"/>
        <v>366387</v>
      </c>
      <c r="M204" s="8"/>
      <c r="N204" s="266"/>
    </row>
    <row r="205" spans="1:14" s="3" customFormat="1" ht="12.2" customHeight="1" x14ac:dyDescent="0.15">
      <c r="A205" s="1" t="s">
        <v>445</v>
      </c>
      <c r="B205" s="2" t="s">
        <v>341</v>
      </c>
      <c r="C205" s="2" t="s">
        <v>297</v>
      </c>
      <c r="D205" s="2" t="s">
        <v>431</v>
      </c>
      <c r="E205" s="6">
        <v>2400</v>
      </c>
      <c r="F205" s="18">
        <f>202623</f>
        <v>202623</v>
      </c>
      <c r="G205" s="18">
        <f>93407-2963</f>
        <v>90444</v>
      </c>
      <c r="H205" s="18">
        <f>2860</f>
        <v>2860</v>
      </c>
      <c r="I205" s="18"/>
      <c r="J205" s="18"/>
      <c r="K205" s="18">
        <f>1359</f>
        <v>1359</v>
      </c>
      <c r="L205" s="19">
        <f t="shared" si="0"/>
        <v>297286</v>
      </c>
      <c r="M205" s="8"/>
      <c r="N205" s="266"/>
    </row>
    <row r="206" spans="1:14" s="3" customFormat="1" ht="12.2" customHeight="1" x14ac:dyDescent="0.15">
      <c r="A206" s="1" t="s">
        <v>446</v>
      </c>
      <c r="B206" s="2" t="s">
        <v>341</v>
      </c>
      <c r="C206" s="2" t="s">
        <v>298</v>
      </c>
      <c r="D206" s="2" t="s">
        <v>431</v>
      </c>
      <c r="E206" s="6">
        <v>2500</v>
      </c>
      <c r="F206" s="18">
        <v>99148</v>
      </c>
      <c r="G206" s="18">
        <v>62316</v>
      </c>
      <c r="H206" s="18">
        <v>23917</v>
      </c>
      <c r="I206" s="18">
        <v>18729</v>
      </c>
      <c r="J206" s="18">
        <v>384</v>
      </c>
      <c r="K206" s="18">
        <v>1191</v>
      </c>
      <c r="L206" s="19">
        <f t="shared" si="0"/>
        <v>205685</v>
      </c>
      <c r="M206" s="8"/>
      <c r="N206" s="266"/>
    </row>
    <row r="207" spans="1:14" s="3" customFormat="1" ht="12.2" customHeight="1" x14ac:dyDescent="0.15">
      <c r="A207" s="1" t="s">
        <v>447</v>
      </c>
      <c r="B207" s="2" t="s">
        <v>341</v>
      </c>
      <c r="C207" s="2" t="s">
        <v>299</v>
      </c>
      <c r="D207" s="2" t="s">
        <v>431</v>
      </c>
      <c r="E207" s="6">
        <v>2600</v>
      </c>
      <c r="F207" s="18">
        <f>91661+46040</f>
        <v>137701</v>
      </c>
      <c r="G207" s="18">
        <f>79472+22867</f>
        <v>102339</v>
      </c>
      <c r="H207" s="18">
        <f>110813+33260</f>
        <v>144073</v>
      </c>
      <c r="I207" s="18">
        <f>104532+31001</f>
        <v>135533</v>
      </c>
      <c r="J207" s="18">
        <v>10184</v>
      </c>
      <c r="K207" s="18"/>
      <c r="L207" s="19">
        <f t="shared" si="0"/>
        <v>529830</v>
      </c>
      <c r="M207" s="8"/>
      <c r="N207" s="266"/>
    </row>
    <row r="208" spans="1:14" s="3" customFormat="1" ht="12.2" customHeight="1" x14ac:dyDescent="0.15">
      <c r="A208" s="1" t="s">
        <v>448</v>
      </c>
      <c r="B208" s="2" t="s">
        <v>341</v>
      </c>
      <c r="C208" s="2" t="s">
        <v>300</v>
      </c>
      <c r="D208" s="2" t="s">
        <v>431</v>
      </c>
      <c r="E208" s="6">
        <v>2700</v>
      </c>
      <c r="F208" s="18">
        <f>4228+148319</f>
        <v>152547</v>
      </c>
      <c r="G208" s="18">
        <f>505+35536</f>
        <v>36041</v>
      </c>
      <c r="H208" s="18">
        <f>74510+67152</f>
        <v>141662</v>
      </c>
      <c r="I208" s="18">
        <v>21566</v>
      </c>
      <c r="J208" s="18">
        <v>38906</v>
      </c>
      <c r="K208" s="18">
        <v>516</v>
      </c>
      <c r="L208" s="19">
        <f t="shared" si="0"/>
        <v>391238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3486194</v>
      </c>
      <c r="G211" s="41">
        <f t="shared" si="1"/>
        <v>1862243</v>
      </c>
      <c r="H211" s="41">
        <f t="shared" si="1"/>
        <v>1005002</v>
      </c>
      <c r="I211" s="41">
        <f t="shared" si="1"/>
        <v>253368</v>
      </c>
      <c r="J211" s="41">
        <f t="shared" si="1"/>
        <v>115687</v>
      </c>
      <c r="K211" s="41">
        <f t="shared" si="1"/>
        <v>9981</v>
      </c>
      <c r="L211" s="41">
        <f t="shared" si="1"/>
        <v>6732475</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721463+42691</f>
        <v>764154</v>
      </c>
      <c r="G215" s="18">
        <f>451588+18838</f>
        <v>470426</v>
      </c>
      <c r="H215" s="18">
        <f>1330</f>
        <v>1330</v>
      </c>
      <c r="I215" s="18">
        <f>16458</f>
        <v>16458</v>
      </c>
      <c r="J215" s="18">
        <f>235</f>
        <v>235</v>
      </c>
      <c r="K215" s="18">
        <f>240</f>
        <v>240</v>
      </c>
      <c r="L215" s="19">
        <f>SUM(F215:K215)</f>
        <v>1252843</v>
      </c>
      <c r="M215" s="8"/>
      <c r="N215" s="266"/>
    </row>
    <row r="216" spans="1:14" s="3" customFormat="1" ht="12.2" customHeight="1" x14ac:dyDescent="0.15">
      <c r="A216" s="1" t="s">
        <v>439</v>
      </c>
      <c r="B216" s="2" t="s">
        <v>346</v>
      </c>
      <c r="C216" s="2" t="s">
        <v>291</v>
      </c>
      <c r="D216" s="2" t="s">
        <v>431</v>
      </c>
      <c r="E216" s="6">
        <v>1200</v>
      </c>
      <c r="F216" s="18">
        <f>293001+1962</f>
        <v>294963</v>
      </c>
      <c r="G216" s="18">
        <f>152193+161</f>
        <v>152354</v>
      </c>
      <c r="H216" s="18">
        <f>117980+31559</f>
        <v>149539</v>
      </c>
      <c r="I216" s="18">
        <f>4652+84</f>
        <v>4736</v>
      </c>
      <c r="J216" s="18">
        <f>2630</f>
        <v>2630</v>
      </c>
      <c r="K216" s="18">
        <v>70</v>
      </c>
      <c r="L216" s="19">
        <f>SUM(F216:K216)</f>
        <v>604292</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21207</f>
        <v>21207</v>
      </c>
      <c r="G218" s="18">
        <f>3766</f>
        <v>3766</v>
      </c>
      <c r="H218" s="18"/>
      <c r="I218" s="18"/>
      <c r="J218" s="18">
        <f>1400</f>
        <v>1400</v>
      </c>
      <c r="K218" s="18"/>
      <c r="L218" s="19">
        <f>SUM(F218:K218)</f>
        <v>26373</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125674+44281</f>
        <v>169955</v>
      </c>
      <c r="G220" s="18">
        <f>92519+18790</f>
        <v>111309</v>
      </c>
      <c r="H220" s="18">
        <f>806+29243</f>
        <v>30049</v>
      </c>
      <c r="I220" s="18">
        <f>104</f>
        <v>104</v>
      </c>
      <c r="J220" s="18"/>
      <c r="K220" s="18"/>
      <c r="L220" s="19">
        <f t="shared" ref="L220:L226" si="2">SUM(F220:K220)</f>
        <v>311417</v>
      </c>
      <c r="M220" s="8"/>
      <c r="N220" s="266"/>
    </row>
    <row r="221" spans="1:14" s="3" customFormat="1" ht="12.2" customHeight="1" x14ac:dyDescent="0.15">
      <c r="A221" s="1" t="s">
        <v>443</v>
      </c>
      <c r="B221" s="2" t="s">
        <v>346</v>
      </c>
      <c r="C221" s="2" t="s">
        <v>295</v>
      </c>
      <c r="D221" s="2" t="s">
        <v>431</v>
      </c>
      <c r="E221" s="6">
        <v>2200</v>
      </c>
      <c r="F221" s="18">
        <f>47698</f>
        <v>47698</v>
      </c>
      <c r="G221" s="18">
        <f>2300+23926</f>
        <v>26226</v>
      </c>
      <c r="H221" s="18">
        <f>25842+3732</f>
        <v>29574</v>
      </c>
      <c r="I221" s="18">
        <f>2665+2588</f>
        <v>5253</v>
      </c>
      <c r="J221" s="18">
        <f>4342+10392</f>
        <v>14734</v>
      </c>
      <c r="K221" s="18">
        <f>68</f>
        <v>68</v>
      </c>
      <c r="L221" s="19">
        <f t="shared" si="2"/>
        <v>123553</v>
      </c>
      <c r="M221" s="8"/>
      <c r="N221" s="266"/>
    </row>
    <row r="222" spans="1:14" s="3" customFormat="1" ht="12.2" customHeight="1" x14ac:dyDescent="0.15">
      <c r="A222" s="1" t="s">
        <v>444</v>
      </c>
      <c r="B222" s="2" t="s">
        <v>346</v>
      </c>
      <c r="C222" s="2" t="s">
        <v>296</v>
      </c>
      <c r="D222" s="2" t="s">
        <v>431</v>
      </c>
      <c r="E222" s="6">
        <v>2300</v>
      </c>
      <c r="F222" s="18">
        <f>41482+57628</f>
        <v>99110</v>
      </c>
      <c r="G222" s="18">
        <f>22297+30511</f>
        <v>52808</v>
      </c>
      <c r="H222" s="18">
        <v>17694</v>
      </c>
      <c r="I222" s="18">
        <v>628</v>
      </c>
      <c r="J222" s="18">
        <v>340</v>
      </c>
      <c r="K222" s="18">
        <v>2259</v>
      </c>
      <c r="L222" s="19">
        <f t="shared" si="2"/>
        <v>172839</v>
      </c>
      <c r="M222" s="8"/>
      <c r="N222" s="266"/>
    </row>
    <row r="223" spans="1:14" s="3" customFormat="1" ht="12.2" customHeight="1" x14ac:dyDescent="0.15">
      <c r="A223" s="1" t="s">
        <v>445</v>
      </c>
      <c r="B223" s="2" t="s">
        <v>346</v>
      </c>
      <c r="C223" s="2" t="s">
        <v>297</v>
      </c>
      <c r="D223" s="2" t="s">
        <v>431</v>
      </c>
      <c r="E223" s="6">
        <v>2400</v>
      </c>
      <c r="F223" s="18">
        <f>99218</f>
        <v>99218</v>
      </c>
      <c r="G223" s="18">
        <f>55186-1276</f>
        <v>53910</v>
      </c>
      <c r="H223" s="18">
        <f>1440</f>
        <v>1440</v>
      </c>
      <c r="I223" s="18"/>
      <c r="J223" s="18"/>
      <c r="K223" s="18">
        <f>560</f>
        <v>560</v>
      </c>
      <c r="L223" s="19">
        <f t="shared" si="2"/>
        <v>155128</v>
      </c>
      <c r="M223" s="8"/>
      <c r="N223" s="266"/>
    </row>
    <row r="224" spans="1:14" s="3" customFormat="1" ht="12.2" customHeight="1" x14ac:dyDescent="0.15">
      <c r="A224" s="1" t="s">
        <v>446</v>
      </c>
      <c r="B224" s="2" t="s">
        <v>346</v>
      </c>
      <c r="C224" s="2" t="s">
        <v>298</v>
      </c>
      <c r="D224" s="2" t="s">
        <v>431</v>
      </c>
      <c r="E224" s="6">
        <v>2500</v>
      </c>
      <c r="F224" s="18">
        <v>42713</v>
      </c>
      <c r="G224" s="18">
        <v>26846</v>
      </c>
      <c r="H224" s="18">
        <v>10304</v>
      </c>
      <c r="I224" s="18">
        <v>8068</v>
      </c>
      <c r="J224" s="18">
        <v>165</v>
      </c>
      <c r="K224" s="18">
        <v>513</v>
      </c>
      <c r="L224" s="19">
        <f t="shared" si="2"/>
        <v>88609</v>
      </c>
      <c r="M224" s="8"/>
      <c r="N224" s="266"/>
    </row>
    <row r="225" spans="1:14" s="3" customFormat="1" ht="12.2" customHeight="1" x14ac:dyDescent="0.15">
      <c r="A225" s="1" t="s">
        <v>447</v>
      </c>
      <c r="B225" s="2" t="s">
        <v>346</v>
      </c>
      <c r="C225" s="2" t="s">
        <v>299</v>
      </c>
      <c r="D225" s="2" t="s">
        <v>431</v>
      </c>
      <c r="E225" s="6">
        <v>2600</v>
      </c>
      <c r="F225" s="18">
        <f>34623+19834</f>
        <v>54457</v>
      </c>
      <c r="G225" s="18">
        <f>19669+9851</f>
        <v>29520</v>
      </c>
      <c r="H225" s="18">
        <f>52178+14328</f>
        <v>66506</v>
      </c>
      <c r="I225" s="18">
        <f>72154+13355</f>
        <v>85509</v>
      </c>
      <c r="J225" s="18">
        <v>4387</v>
      </c>
      <c r="K225" s="18"/>
      <c r="L225" s="19">
        <f t="shared" si="2"/>
        <v>240379</v>
      </c>
      <c r="M225" s="8"/>
      <c r="N225" s="266"/>
    </row>
    <row r="226" spans="1:14" s="3" customFormat="1" ht="12.2" customHeight="1" x14ac:dyDescent="0.15">
      <c r="A226" s="1" t="s">
        <v>448</v>
      </c>
      <c r="B226" s="2" t="s">
        <v>346</v>
      </c>
      <c r="C226" s="2" t="s">
        <v>300</v>
      </c>
      <c r="D226" s="2" t="s">
        <v>431</v>
      </c>
      <c r="E226" s="6">
        <v>2700</v>
      </c>
      <c r="F226" s="18">
        <f>2651+63896</f>
        <v>66547</v>
      </c>
      <c r="G226" s="18">
        <f>383+15309</f>
        <v>15692</v>
      </c>
      <c r="H226" s="18">
        <f>468+28929</f>
        <v>29397</v>
      </c>
      <c r="I226" s="18">
        <v>9291</v>
      </c>
      <c r="J226" s="18">
        <v>16761</v>
      </c>
      <c r="K226" s="18">
        <v>224</v>
      </c>
      <c r="L226" s="19">
        <f t="shared" si="2"/>
        <v>137912</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1660022</v>
      </c>
      <c r="G229" s="41">
        <f>SUM(G215:G228)</f>
        <v>942857</v>
      </c>
      <c r="H229" s="41">
        <f>SUM(H215:H228)</f>
        <v>335833</v>
      </c>
      <c r="I229" s="41">
        <f>SUM(I215:I228)</f>
        <v>130047</v>
      </c>
      <c r="J229" s="41">
        <f>SUM(J215:J228)</f>
        <v>40652</v>
      </c>
      <c r="K229" s="41">
        <f t="shared" si="3"/>
        <v>3934</v>
      </c>
      <c r="L229" s="41">
        <f t="shared" si="3"/>
        <v>3113345</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824481+69928</f>
        <v>894409</v>
      </c>
      <c r="G233" s="18">
        <f>540347+30857</f>
        <v>571204</v>
      </c>
      <c r="H233" s="18">
        <f>12755</f>
        <v>12755</v>
      </c>
      <c r="I233" s="18">
        <f>33642</f>
        <v>33642</v>
      </c>
      <c r="J233" s="18">
        <f>20210</f>
        <v>20210</v>
      </c>
      <c r="K233" s="18">
        <f>2826</f>
        <v>2826</v>
      </c>
      <c r="L233" s="19">
        <f>SUM(F233:K233)</f>
        <v>1535046</v>
      </c>
      <c r="M233" s="8"/>
      <c r="N233" s="266"/>
    </row>
    <row r="234" spans="1:14" s="3" customFormat="1" ht="12.2" customHeight="1" x14ac:dyDescent="0.15">
      <c r="A234" s="1" t="s">
        <v>439</v>
      </c>
      <c r="B234" s="2" t="s">
        <v>350</v>
      </c>
      <c r="C234" s="2" t="s">
        <v>291</v>
      </c>
      <c r="D234" s="2" t="s">
        <v>431</v>
      </c>
      <c r="E234" s="6">
        <v>1200</v>
      </c>
      <c r="F234" s="18">
        <f>247051+3215</f>
        <v>250266</v>
      </c>
      <c r="G234" s="18">
        <f>187862+263</f>
        <v>188125</v>
      </c>
      <c r="H234" s="18">
        <f>706862+51693</f>
        <v>758555</v>
      </c>
      <c r="I234" s="18">
        <f>2338+137</f>
        <v>2475</v>
      </c>
      <c r="J234" s="18"/>
      <c r="K234" s="18">
        <v>114</v>
      </c>
      <c r="L234" s="19">
        <f>SUM(F234:K234)</f>
        <v>1199535</v>
      </c>
      <c r="M234" s="8"/>
      <c r="N234" s="266"/>
    </row>
    <row r="235" spans="1:14" s="3" customFormat="1" ht="12.2" customHeight="1" x14ac:dyDescent="0.15">
      <c r="A235" s="1" t="s">
        <v>440</v>
      </c>
      <c r="B235" s="2" t="s">
        <v>350</v>
      </c>
      <c r="C235" s="2" t="s">
        <v>292</v>
      </c>
      <c r="D235" s="2" t="s">
        <v>431</v>
      </c>
      <c r="E235" s="6">
        <v>1300</v>
      </c>
      <c r="F235" s="18">
        <f>341386</f>
        <v>341386</v>
      </c>
      <c r="G235" s="18">
        <f>264387</f>
        <v>264387</v>
      </c>
      <c r="H235" s="18">
        <f>20862</f>
        <v>20862</v>
      </c>
      <c r="I235" s="18">
        <f>23285</f>
        <v>23285</v>
      </c>
      <c r="J235" s="18">
        <f>8065</f>
        <v>8065</v>
      </c>
      <c r="K235" s="18">
        <f>3290</f>
        <v>3290</v>
      </c>
      <c r="L235" s="19">
        <f>SUM(F235:K235)</f>
        <v>661275</v>
      </c>
      <c r="M235" s="8"/>
      <c r="N235" s="266"/>
    </row>
    <row r="236" spans="1:14" s="3" customFormat="1" ht="12.2" customHeight="1" x14ac:dyDescent="0.15">
      <c r="A236" s="1" t="s">
        <v>441</v>
      </c>
      <c r="B236" s="2" t="s">
        <v>350</v>
      </c>
      <c r="C236" s="2" t="s">
        <v>293</v>
      </c>
      <c r="D236" s="2" t="s">
        <v>431</v>
      </c>
      <c r="E236" s="6">
        <v>1400</v>
      </c>
      <c r="F236" s="18">
        <f>143313</f>
        <v>143313</v>
      </c>
      <c r="G236" s="18">
        <f>42776</f>
        <v>42776</v>
      </c>
      <c r="H236" s="18">
        <f>36648</f>
        <v>36648</v>
      </c>
      <c r="I236" s="18">
        <f>12180</f>
        <v>12180</v>
      </c>
      <c r="J236" s="18">
        <f>6382</f>
        <v>6382</v>
      </c>
      <c r="K236" s="18">
        <f>9177</f>
        <v>9177</v>
      </c>
      <c r="L236" s="19">
        <f>SUM(F236:K236)</f>
        <v>250476</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214818+72533</f>
        <v>287351</v>
      </c>
      <c r="G238" s="18">
        <f>162946+30779</f>
        <v>193725</v>
      </c>
      <c r="H238" s="18">
        <f>9757+47900</f>
        <v>57657</v>
      </c>
      <c r="I238" s="18">
        <f>12807</f>
        <v>12807</v>
      </c>
      <c r="J238" s="18"/>
      <c r="K238" s="18">
        <v>350</v>
      </c>
      <c r="L238" s="19">
        <f t="shared" ref="L238:L244" si="4">SUM(F238:K238)</f>
        <v>551890</v>
      </c>
      <c r="M238" s="8"/>
      <c r="N238" s="266"/>
    </row>
    <row r="239" spans="1:14" s="3" customFormat="1" ht="12.2" customHeight="1" x14ac:dyDescent="0.15">
      <c r="A239" s="1" t="s">
        <v>443</v>
      </c>
      <c r="B239" s="2" t="s">
        <v>350</v>
      </c>
      <c r="C239" s="2" t="s">
        <v>295</v>
      </c>
      <c r="D239" s="2" t="s">
        <v>431</v>
      </c>
      <c r="E239" s="6">
        <v>2200</v>
      </c>
      <c r="F239" s="18">
        <f>82796+78130</f>
        <v>160926</v>
      </c>
      <c r="G239" s="18">
        <f>58172+39191</f>
        <v>97363</v>
      </c>
      <c r="H239" s="18">
        <f>44739+6113</f>
        <v>50852</v>
      </c>
      <c r="I239" s="18">
        <f>18874+4240</f>
        <v>23114</v>
      </c>
      <c r="J239" s="18">
        <f>9478+17023</f>
        <v>26501</v>
      </c>
      <c r="K239" s="18">
        <v>172</v>
      </c>
      <c r="L239" s="19">
        <f t="shared" si="4"/>
        <v>358928</v>
      </c>
      <c r="M239" s="8"/>
      <c r="N239" s="266"/>
    </row>
    <row r="240" spans="1:14" s="3" customFormat="1" ht="12.2" customHeight="1" x14ac:dyDescent="0.15">
      <c r="A240" s="1" t="s">
        <v>444</v>
      </c>
      <c r="B240" s="2" t="s">
        <v>350</v>
      </c>
      <c r="C240" s="2" t="s">
        <v>296</v>
      </c>
      <c r="D240" s="2" t="s">
        <v>431</v>
      </c>
      <c r="E240" s="6">
        <v>2300</v>
      </c>
      <c r="F240" s="18">
        <f>41482+94395</f>
        <v>135877</v>
      </c>
      <c r="G240" s="18">
        <f>19922+49977</f>
        <v>69899</v>
      </c>
      <c r="H240" s="18">
        <v>28982</v>
      </c>
      <c r="I240" s="18">
        <v>1029</v>
      </c>
      <c r="J240" s="18">
        <v>557</v>
      </c>
      <c r="K240" s="18">
        <v>3700</v>
      </c>
      <c r="L240" s="19">
        <f t="shared" si="4"/>
        <v>240044</v>
      </c>
      <c r="M240" s="8"/>
      <c r="N240" s="266"/>
    </row>
    <row r="241" spans="1:14" s="3" customFormat="1" ht="12.2" customHeight="1" x14ac:dyDescent="0.15">
      <c r="A241" s="1" t="s">
        <v>445</v>
      </c>
      <c r="B241" s="2" t="s">
        <v>350</v>
      </c>
      <c r="C241" s="2" t="s">
        <v>297</v>
      </c>
      <c r="D241" s="2" t="s">
        <v>431</v>
      </c>
      <c r="E241" s="6">
        <v>2400</v>
      </c>
      <c r="F241" s="18">
        <f>217890</f>
        <v>217890</v>
      </c>
      <c r="G241" s="18">
        <f>141654-2091</f>
        <v>139563</v>
      </c>
      <c r="H241" s="18">
        <f>6068</f>
        <v>6068</v>
      </c>
      <c r="I241" s="18">
        <f>6142</f>
        <v>6142</v>
      </c>
      <c r="J241" s="18">
        <f>175</f>
        <v>175</v>
      </c>
      <c r="K241" s="18">
        <f>4873</f>
        <v>4873</v>
      </c>
      <c r="L241" s="19">
        <f t="shared" si="4"/>
        <v>374711</v>
      </c>
      <c r="M241" s="8"/>
      <c r="N241" s="266"/>
    </row>
    <row r="242" spans="1:14" s="3" customFormat="1" ht="12.2" customHeight="1" x14ac:dyDescent="0.15">
      <c r="A242" s="1" t="s">
        <v>446</v>
      </c>
      <c r="B242" s="2" t="s">
        <v>350</v>
      </c>
      <c r="C242" s="2" t="s">
        <v>298</v>
      </c>
      <c r="D242" s="2" t="s">
        <v>431</v>
      </c>
      <c r="E242" s="6">
        <v>2500</v>
      </c>
      <c r="F242" s="18">
        <v>69964</v>
      </c>
      <c r="G242" s="18">
        <v>43974</v>
      </c>
      <c r="H242" s="18">
        <v>16877</v>
      </c>
      <c r="I242" s="18">
        <v>13216</v>
      </c>
      <c r="J242" s="18">
        <v>271</v>
      </c>
      <c r="K242" s="18">
        <v>841</v>
      </c>
      <c r="L242" s="19">
        <f t="shared" si="4"/>
        <v>145143</v>
      </c>
      <c r="M242" s="8"/>
      <c r="N242" s="266"/>
    </row>
    <row r="243" spans="1:14" s="3" customFormat="1" ht="12.2" customHeight="1" x14ac:dyDescent="0.15">
      <c r="A243" s="1" t="s">
        <v>447</v>
      </c>
      <c r="B243" s="2" t="s">
        <v>350</v>
      </c>
      <c r="C243" s="2" t="s">
        <v>299</v>
      </c>
      <c r="D243" s="2" t="s">
        <v>431</v>
      </c>
      <c r="E243" s="6">
        <v>2600</v>
      </c>
      <c r="F243" s="18">
        <f>174430+32489</f>
        <v>206919</v>
      </c>
      <c r="G243" s="18">
        <f>116131+16136</f>
        <v>132267</v>
      </c>
      <c r="H243" s="18">
        <f>119910+23470</f>
        <v>143380</v>
      </c>
      <c r="I243" s="18">
        <f>142551+21876</f>
        <v>164427</v>
      </c>
      <c r="J243" s="18">
        <f>702+7186</f>
        <v>7888</v>
      </c>
      <c r="K243" s="18"/>
      <c r="L243" s="19">
        <f t="shared" si="4"/>
        <v>654881</v>
      </c>
      <c r="M243" s="8"/>
      <c r="N243" s="266"/>
    </row>
    <row r="244" spans="1:14" s="3" customFormat="1" ht="12.2" customHeight="1" x14ac:dyDescent="0.15">
      <c r="A244" s="1" t="s">
        <v>448</v>
      </c>
      <c r="B244" s="2" t="s">
        <v>350</v>
      </c>
      <c r="C244" s="2" t="s">
        <v>300</v>
      </c>
      <c r="D244" s="2" t="s">
        <v>431</v>
      </c>
      <c r="E244" s="6">
        <v>2700</v>
      </c>
      <c r="F244" s="18">
        <f>14770+104662</f>
        <v>119432</v>
      </c>
      <c r="G244" s="18">
        <f>1744+25076</f>
        <v>26820</v>
      </c>
      <c r="H244" s="18">
        <f>120686+47386</f>
        <v>168072</v>
      </c>
      <c r="I244" s="18">
        <v>15218</v>
      </c>
      <c r="J244" s="18">
        <v>27454</v>
      </c>
      <c r="K244" s="18">
        <v>367</v>
      </c>
      <c r="L244" s="19">
        <f t="shared" si="4"/>
        <v>357363</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2827733</v>
      </c>
      <c r="G247" s="41">
        <f t="shared" si="5"/>
        <v>1770103</v>
      </c>
      <c r="H247" s="41">
        <f t="shared" si="5"/>
        <v>1300708</v>
      </c>
      <c r="I247" s="41">
        <f t="shared" si="5"/>
        <v>307535</v>
      </c>
      <c r="J247" s="41">
        <f t="shared" si="5"/>
        <v>97503</v>
      </c>
      <c r="K247" s="41">
        <f t="shared" si="5"/>
        <v>25710</v>
      </c>
      <c r="L247" s="41">
        <f t="shared" si="5"/>
        <v>6329292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7973949</v>
      </c>
      <c r="G257" s="41">
        <f t="shared" si="8"/>
        <v>4575203</v>
      </c>
      <c r="H257" s="41">
        <f t="shared" si="8"/>
        <v>2641543</v>
      </c>
      <c r="I257" s="41">
        <f t="shared" si="8"/>
        <v>690950</v>
      </c>
      <c r="J257" s="41">
        <f t="shared" si="8"/>
        <v>253842</v>
      </c>
      <c r="K257" s="41">
        <f t="shared" si="8"/>
        <v>39625</v>
      </c>
      <c r="L257" s="41">
        <f t="shared" si="8"/>
        <v>16175112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510000</v>
      </c>
      <c r="L260" s="19">
        <f>SUM(F260:K260)</f>
        <v>510000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230150</v>
      </c>
      <c r="L261" s="19">
        <f>SUM(F261:K261)</f>
        <v>230150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740150</v>
      </c>
      <c r="L270" s="41">
        <f t="shared" si="9"/>
        <v>740150</v>
      </c>
      <c r="N270" s="264"/>
    </row>
    <row r="271" spans="1:14" s="3" customFormat="1" ht="12.2" customHeight="1" thickTop="1" x14ac:dyDescent="0.2">
      <c r="A271" s="43" t="s">
        <v>464</v>
      </c>
      <c r="B271" s="40">
        <v>10</v>
      </c>
      <c r="C271" s="40">
        <v>18</v>
      </c>
      <c r="D271" s="39" t="s">
        <v>431</v>
      </c>
      <c r="E271" s="40"/>
      <c r="F271" s="42">
        <f t="shared" ref="F271:L271" si="11">F257+F270</f>
        <v>7973949</v>
      </c>
      <c r="G271" s="42">
        <f t="shared" si="11"/>
        <v>4575203</v>
      </c>
      <c r="H271" s="42">
        <f t="shared" si="11"/>
        <v>2641543</v>
      </c>
      <c r="I271" s="42">
        <f t="shared" si="11"/>
        <v>690950</v>
      </c>
      <c r="J271" s="42">
        <f t="shared" si="11"/>
        <v>253842</v>
      </c>
      <c r="K271" s="42">
        <f t="shared" si="11"/>
        <v>779775</v>
      </c>
      <c r="L271" s="42">
        <f t="shared" si="11"/>
        <v>16915262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119945</f>
        <v>119945</v>
      </c>
      <c r="G276" s="18">
        <f>34411</f>
        <v>34411</v>
      </c>
      <c r="H276" s="18">
        <v>8192</v>
      </c>
      <c r="I276" s="18">
        <v>34604</v>
      </c>
      <c r="J276" s="18">
        <v>4100</v>
      </c>
      <c r="K276" s="18">
        <v>199</v>
      </c>
      <c r="L276" s="19">
        <f>SUM(F276:K276)</f>
        <v>201451</v>
      </c>
      <c r="M276" s="8"/>
      <c r="N276" s="266"/>
    </row>
    <row r="277" spans="1:14" s="3" customFormat="1" ht="12.2" customHeight="1" x14ac:dyDescent="0.15">
      <c r="A277" s="1" t="s">
        <v>439</v>
      </c>
      <c r="B277" s="2" t="s">
        <v>357</v>
      </c>
      <c r="C277" s="2" t="s">
        <v>291</v>
      </c>
      <c r="D277" s="2" t="s">
        <v>431</v>
      </c>
      <c r="E277" s="6">
        <v>1200</v>
      </c>
      <c r="F277" s="18"/>
      <c r="G277" s="18">
        <v>53</v>
      </c>
      <c r="H277" s="18">
        <f>67473+6891</f>
        <v>74364</v>
      </c>
      <c r="I277" s="18">
        <v>8675</v>
      </c>
      <c r="J277" s="18">
        <v>8351</v>
      </c>
      <c r="K277" s="18"/>
      <c r="L277" s="19">
        <f>SUM(F277:K277)</f>
        <v>91443</v>
      </c>
      <c r="M277" s="8"/>
      <c r="N277" s="266"/>
    </row>
    <row r="278" spans="1:14" s="3" customFormat="1" ht="12.2" customHeight="1" x14ac:dyDescent="0.15">
      <c r="A278" s="1" t="s">
        <v>440</v>
      </c>
      <c r="B278" s="2" t="s">
        <v>357</v>
      </c>
      <c r="C278" s="2" t="s">
        <v>292</v>
      </c>
      <c r="D278" s="2" t="s">
        <v>431</v>
      </c>
      <c r="E278" s="6">
        <v>1300</v>
      </c>
      <c r="F278" s="18">
        <v>4142</v>
      </c>
      <c r="G278" s="18">
        <v>1036</v>
      </c>
      <c r="H278" s="18">
        <v>2151</v>
      </c>
      <c r="I278" s="18">
        <v>3543</v>
      </c>
      <c r="J278" s="18">
        <v>17925</v>
      </c>
      <c r="K278" s="18">
        <v>2247</v>
      </c>
      <c r="L278" s="19">
        <f>SUM(F278:K278)</f>
        <v>31044</v>
      </c>
      <c r="M278" s="8"/>
      <c r="N278" s="266"/>
    </row>
    <row r="279" spans="1:14" s="3" customFormat="1" ht="12.2" customHeight="1" x14ac:dyDescent="0.15">
      <c r="A279" s="1" t="s">
        <v>441</v>
      </c>
      <c r="B279" s="2" t="s">
        <v>357</v>
      </c>
      <c r="C279" s="2" t="s">
        <v>293</v>
      </c>
      <c r="D279" s="2" t="s">
        <v>431</v>
      </c>
      <c r="E279" s="6">
        <v>1400</v>
      </c>
      <c r="F279" s="18"/>
      <c r="G279" s="18"/>
      <c r="H279" s="18"/>
      <c r="I279" s="18">
        <v>252</v>
      </c>
      <c r="J279" s="18"/>
      <c r="K279" s="18"/>
      <c r="L279" s="19">
        <f>SUM(F279:K279)</f>
        <v>252</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15127</v>
      </c>
      <c r="G281" s="18">
        <v>7958</v>
      </c>
      <c r="H281" s="18">
        <v>6545</v>
      </c>
      <c r="I281" s="18">
        <v>2627</v>
      </c>
      <c r="J281" s="18"/>
      <c r="K281" s="18">
        <v>2757</v>
      </c>
      <c r="L281" s="19">
        <f t="shared" ref="L281:L287" si="12">SUM(F281:K281)</f>
        <v>35014</v>
      </c>
      <c r="M281" s="8"/>
      <c r="N281" s="266"/>
    </row>
    <row r="282" spans="1:14" s="3" customFormat="1" ht="12.2" customHeight="1" x14ac:dyDescent="0.15">
      <c r="A282" s="1" t="s">
        <v>443</v>
      </c>
      <c r="B282" s="2" t="s">
        <v>357</v>
      </c>
      <c r="C282" s="2" t="s">
        <v>295</v>
      </c>
      <c r="D282" s="2" t="s">
        <v>431</v>
      </c>
      <c r="E282" s="6">
        <v>2200</v>
      </c>
      <c r="F282" s="18">
        <f>-1638</f>
        <v>-1638</v>
      </c>
      <c r="G282" s="18">
        <f>-502</f>
        <v>-502</v>
      </c>
      <c r="H282" s="18">
        <v>-2</v>
      </c>
      <c r="I282" s="18"/>
      <c r="J282" s="18"/>
      <c r="K282" s="18"/>
      <c r="L282" s="19">
        <f t="shared" si="12"/>
        <v>-2142</v>
      </c>
      <c r="M282" s="8"/>
      <c r="N282" s="266"/>
    </row>
    <row r="283" spans="1:14" s="3" customFormat="1" ht="12.2" customHeight="1" x14ac:dyDescent="0.15">
      <c r="A283" s="1" t="s">
        <v>444</v>
      </c>
      <c r="B283" s="2" t="s">
        <v>357</v>
      </c>
      <c r="C283" s="2" t="s">
        <v>296</v>
      </c>
      <c r="D283" s="2" t="s">
        <v>431</v>
      </c>
      <c r="E283" s="6">
        <v>2300</v>
      </c>
      <c r="F283" s="18"/>
      <c r="G283" s="18"/>
      <c r="H283" s="18">
        <v>10037</v>
      </c>
      <c r="I283" s="18"/>
      <c r="J283" s="18"/>
      <c r="K283" s="18"/>
      <c r="L283" s="19">
        <f t="shared" si="12"/>
        <v>10037</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6873</v>
      </c>
      <c r="I287" s="18"/>
      <c r="J287" s="18"/>
      <c r="K287" s="18"/>
      <c r="L287" s="19">
        <f t="shared" si="12"/>
        <v>6873</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137576</v>
      </c>
      <c r="G290" s="42">
        <f t="shared" si="13"/>
        <v>42956</v>
      </c>
      <c r="H290" s="42">
        <f t="shared" si="13"/>
        <v>108160</v>
      </c>
      <c r="I290" s="42">
        <f t="shared" si="13"/>
        <v>49701</v>
      </c>
      <c r="J290" s="42">
        <f t="shared" si="13"/>
        <v>30376</v>
      </c>
      <c r="K290" s="42">
        <f t="shared" si="13"/>
        <v>5203</v>
      </c>
      <c r="L290" s="41">
        <f t="shared" si="13"/>
        <v>373972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51672</f>
        <v>51672</v>
      </c>
      <c r="G295" s="18">
        <v>14824</v>
      </c>
      <c r="H295" s="18">
        <v>3529</v>
      </c>
      <c r="I295" s="18">
        <f>215+14907</f>
        <v>15122</v>
      </c>
      <c r="J295" s="18">
        <v>1766</v>
      </c>
      <c r="K295" s="18">
        <v>86</v>
      </c>
      <c r="L295" s="19">
        <f>SUM(F295:K295)</f>
        <v>86999</v>
      </c>
      <c r="M295" s="8"/>
      <c r="N295" s="266"/>
    </row>
    <row r="296" spans="1:14" s="3" customFormat="1" ht="12.2" customHeight="1" x14ac:dyDescent="0.15">
      <c r="A296" s="1" t="s">
        <v>439</v>
      </c>
      <c r="B296" s="2" t="s">
        <v>358</v>
      </c>
      <c r="C296" s="2" t="s">
        <v>291</v>
      </c>
      <c r="D296" s="2" t="s">
        <v>431</v>
      </c>
      <c r="E296" s="6">
        <v>1200</v>
      </c>
      <c r="F296" s="18"/>
      <c r="G296" s="18">
        <v>23</v>
      </c>
      <c r="H296" s="18">
        <v>29067</v>
      </c>
      <c r="I296" s="18">
        <v>3737</v>
      </c>
      <c r="J296" s="18">
        <v>3597</v>
      </c>
      <c r="K296" s="18"/>
      <c r="L296" s="19">
        <f>SUM(F296:K296)</f>
        <v>36424</v>
      </c>
      <c r="M296" s="8"/>
      <c r="N296" s="266"/>
    </row>
    <row r="297" spans="1:14" s="3" customFormat="1" ht="12.2" customHeight="1" x14ac:dyDescent="0.15">
      <c r="A297" s="1" t="s">
        <v>440</v>
      </c>
      <c r="B297" s="2" t="s">
        <v>358</v>
      </c>
      <c r="C297" s="2" t="s">
        <v>292</v>
      </c>
      <c r="D297" s="2" t="s">
        <v>431</v>
      </c>
      <c r="E297" s="6">
        <v>1300</v>
      </c>
      <c r="F297" s="18">
        <v>1785</v>
      </c>
      <c r="G297" s="18">
        <v>446</v>
      </c>
      <c r="H297" s="18">
        <v>927</v>
      </c>
      <c r="I297" s="18">
        <v>1526</v>
      </c>
      <c r="J297" s="18">
        <v>7722</v>
      </c>
      <c r="K297" s="18">
        <v>968</v>
      </c>
      <c r="L297" s="19">
        <f>SUM(F297:K297)</f>
        <v>13374</v>
      </c>
      <c r="M297" s="8"/>
      <c r="N297" s="266"/>
    </row>
    <row r="298" spans="1:14" s="3" customFormat="1" ht="12.2" customHeight="1" x14ac:dyDescent="0.15">
      <c r="A298" s="1" t="s">
        <v>441</v>
      </c>
      <c r="B298" s="2" t="s">
        <v>358</v>
      </c>
      <c r="C298" s="2" t="s">
        <v>293</v>
      </c>
      <c r="D298" s="2" t="s">
        <v>431</v>
      </c>
      <c r="E298" s="6">
        <v>1400</v>
      </c>
      <c r="F298" s="18"/>
      <c r="G298" s="18"/>
      <c r="H298" s="18"/>
      <c r="I298" s="18">
        <v>109</v>
      </c>
      <c r="J298" s="18"/>
      <c r="K298" s="18"/>
      <c r="L298" s="19">
        <f>SUM(F298:K298)</f>
        <v>109</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6517</v>
      </c>
      <c r="G300" s="18">
        <v>3428</v>
      </c>
      <c r="H300" s="18">
        <v>2819</v>
      </c>
      <c r="I300" s="18">
        <v>1132</v>
      </c>
      <c r="J300" s="18"/>
      <c r="K300" s="18">
        <v>1188</v>
      </c>
      <c r="L300" s="19">
        <f t="shared" ref="L300:L306" si="14">SUM(F300:K300)</f>
        <v>15084</v>
      </c>
      <c r="M300" s="8"/>
      <c r="N300" s="266"/>
    </row>
    <row r="301" spans="1:14" s="3" customFormat="1" ht="12.2" customHeight="1" x14ac:dyDescent="0.15">
      <c r="A301" s="1" t="s">
        <v>443</v>
      </c>
      <c r="B301" s="2" t="s">
        <v>358</v>
      </c>
      <c r="C301" s="2" t="s">
        <v>295</v>
      </c>
      <c r="D301" s="2" t="s">
        <v>431</v>
      </c>
      <c r="E301" s="6">
        <v>2200</v>
      </c>
      <c r="F301" s="18">
        <f>-706</f>
        <v>-706</v>
      </c>
      <c r="G301" s="18">
        <v>-216</v>
      </c>
      <c r="H301" s="18">
        <v>-1</v>
      </c>
      <c r="I301" s="18"/>
      <c r="J301" s="18"/>
      <c r="K301" s="18"/>
      <c r="L301" s="19">
        <f t="shared" si="14"/>
        <v>-923</v>
      </c>
      <c r="M301" s="8"/>
      <c r="N301" s="266"/>
    </row>
    <row r="302" spans="1:14" s="3" customFormat="1" ht="12.2" customHeight="1" x14ac:dyDescent="0.15">
      <c r="A302" s="1" t="s">
        <v>444</v>
      </c>
      <c r="B302" s="2" t="s">
        <v>358</v>
      </c>
      <c r="C302" s="2" t="s">
        <v>296</v>
      </c>
      <c r="D302" s="2" t="s">
        <v>431</v>
      </c>
      <c r="E302" s="6">
        <v>2300</v>
      </c>
      <c r="F302" s="18"/>
      <c r="G302" s="18"/>
      <c r="H302" s="18">
        <v>4324</v>
      </c>
      <c r="I302" s="18"/>
      <c r="J302" s="18"/>
      <c r="K302" s="18"/>
      <c r="L302" s="19">
        <f t="shared" si="14"/>
        <v>4324</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v>2961</v>
      </c>
      <c r="I306" s="18"/>
      <c r="J306" s="18"/>
      <c r="K306" s="18"/>
      <c r="L306" s="19">
        <f t="shared" si="14"/>
        <v>2961</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59268</v>
      </c>
      <c r="G309" s="42">
        <f t="shared" si="15"/>
        <v>18505</v>
      </c>
      <c r="H309" s="42">
        <f t="shared" si="15"/>
        <v>43626</v>
      </c>
      <c r="I309" s="42">
        <f t="shared" si="15"/>
        <v>21626</v>
      </c>
      <c r="J309" s="42">
        <f t="shared" si="15"/>
        <v>13085</v>
      </c>
      <c r="K309" s="42">
        <f t="shared" si="15"/>
        <v>2242</v>
      </c>
      <c r="L309" s="41">
        <f t="shared" si="15"/>
        <v>158352</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84640</f>
        <v>84640</v>
      </c>
      <c r="G314" s="18">
        <v>24282</v>
      </c>
      <c r="H314" s="18">
        <v>5781</v>
      </c>
      <c r="I314" s="18">
        <f>4799+24419</f>
        <v>29218</v>
      </c>
      <c r="J314" s="18">
        <v>2893</v>
      </c>
      <c r="K314" s="18">
        <v>140</v>
      </c>
      <c r="L314" s="19">
        <f>SUM(F314:K314)</f>
        <v>146954</v>
      </c>
      <c r="M314" s="8"/>
      <c r="N314" s="266"/>
    </row>
    <row r="315" spans="1:14" s="3" customFormat="1" ht="12.2" customHeight="1" x14ac:dyDescent="0.15">
      <c r="A315" s="1" t="s">
        <v>439</v>
      </c>
      <c r="B315" s="2" t="s">
        <v>359</v>
      </c>
      <c r="C315" s="2" t="s">
        <v>291</v>
      </c>
      <c r="D315" s="2" t="s">
        <v>431</v>
      </c>
      <c r="E315" s="6">
        <v>1200</v>
      </c>
      <c r="F315" s="18"/>
      <c r="G315" s="18">
        <v>38</v>
      </c>
      <c r="H315" s="18">
        <v>47613</v>
      </c>
      <c r="I315" s="18">
        <v>6121</v>
      </c>
      <c r="J315" s="18">
        <v>5893</v>
      </c>
      <c r="K315" s="18"/>
      <c r="L315" s="19">
        <f>SUM(F315:K315)</f>
        <v>59665</v>
      </c>
      <c r="M315" s="8"/>
      <c r="N315" s="266"/>
    </row>
    <row r="316" spans="1:14" s="3" customFormat="1" ht="12.2" customHeight="1" x14ac:dyDescent="0.15">
      <c r="A316" s="1" t="s">
        <v>440</v>
      </c>
      <c r="B316" s="2" t="s">
        <v>359</v>
      </c>
      <c r="C316" s="2" t="s">
        <v>292</v>
      </c>
      <c r="D316" s="2" t="s">
        <v>431</v>
      </c>
      <c r="E316" s="6">
        <v>1300</v>
      </c>
      <c r="F316" s="18">
        <v>2923</v>
      </c>
      <c r="G316" s="18">
        <v>731</v>
      </c>
      <c r="H316" s="18">
        <v>1518</v>
      </c>
      <c r="I316" s="18">
        <v>2500</v>
      </c>
      <c r="J316" s="18">
        <v>12649</v>
      </c>
      <c r="K316" s="18">
        <v>1585</v>
      </c>
      <c r="L316" s="19">
        <f>SUM(F316:K316)</f>
        <v>21906</v>
      </c>
      <c r="M316" s="8"/>
      <c r="N316" s="266"/>
    </row>
    <row r="317" spans="1:14" s="3" customFormat="1" ht="12.2" customHeight="1" x14ac:dyDescent="0.15">
      <c r="A317" s="1" t="s">
        <v>441</v>
      </c>
      <c r="B317" s="2" t="s">
        <v>359</v>
      </c>
      <c r="C317" s="2" t="s">
        <v>293</v>
      </c>
      <c r="D317" s="2" t="s">
        <v>431</v>
      </c>
      <c r="E317" s="6">
        <v>1400</v>
      </c>
      <c r="F317" s="18"/>
      <c r="G317" s="18"/>
      <c r="H317" s="18"/>
      <c r="I317" s="18">
        <v>178</v>
      </c>
      <c r="J317" s="18"/>
      <c r="K317" s="18"/>
      <c r="L317" s="19">
        <f>SUM(F317:K317)</f>
        <v>178</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10675</v>
      </c>
      <c r="G319" s="18">
        <v>5616</v>
      </c>
      <c r="H319" s="18">
        <v>4618</v>
      </c>
      <c r="I319" s="18">
        <v>1854</v>
      </c>
      <c r="J319" s="18"/>
      <c r="K319" s="18">
        <v>1945</v>
      </c>
      <c r="L319" s="19">
        <f t="shared" ref="L319:L325" si="16">SUM(F319:K319)</f>
        <v>24708</v>
      </c>
      <c r="M319" s="8"/>
      <c r="N319" s="266"/>
    </row>
    <row r="320" spans="1:14" s="3" customFormat="1" ht="12.2" customHeight="1" x14ac:dyDescent="0.15">
      <c r="A320" s="1" t="s">
        <v>443</v>
      </c>
      <c r="B320" s="2" t="s">
        <v>359</v>
      </c>
      <c r="C320" s="2" t="s">
        <v>295</v>
      </c>
      <c r="D320" s="2" t="s">
        <v>431</v>
      </c>
      <c r="E320" s="6">
        <v>2200</v>
      </c>
      <c r="F320" s="18">
        <f>-1156</f>
        <v>-1156</v>
      </c>
      <c r="G320" s="18">
        <v>-354</v>
      </c>
      <c r="H320" s="18">
        <v>-2</v>
      </c>
      <c r="I320" s="18"/>
      <c r="J320" s="18"/>
      <c r="K320" s="18"/>
      <c r="L320" s="19">
        <f t="shared" si="16"/>
        <v>-1512</v>
      </c>
      <c r="M320" s="8"/>
      <c r="N320" s="266"/>
    </row>
    <row r="321" spans="1:14" s="3" customFormat="1" ht="12.2" customHeight="1" x14ac:dyDescent="0.15">
      <c r="A321" s="1" t="s">
        <v>444</v>
      </c>
      <c r="B321" s="2" t="s">
        <v>359</v>
      </c>
      <c r="C321" s="2" t="s">
        <v>296</v>
      </c>
      <c r="D321" s="2" t="s">
        <v>431</v>
      </c>
      <c r="E321" s="6">
        <v>2300</v>
      </c>
      <c r="F321" s="18"/>
      <c r="G321" s="18"/>
      <c r="H321" s="18">
        <v>7083</v>
      </c>
      <c r="I321" s="18"/>
      <c r="J321" s="18"/>
      <c r="K321" s="18"/>
      <c r="L321" s="19">
        <f t="shared" si="16"/>
        <v>7083</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v>4850</v>
      </c>
      <c r="I325" s="18"/>
      <c r="J325" s="18"/>
      <c r="K325" s="18"/>
      <c r="L325" s="19">
        <f t="shared" si="16"/>
        <v>4850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97082</v>
      </c>
      <c r="G328" s="42">
        <f t="shared" si="17"/>
        <v>30313</v>
      </c>
      <c r="H328" s="42">
        <f t="shared" si="17"/>
        <v>71461</v>
      </c>
      <c r="I328" s="42">
        <f t="shared" si="17"/>
        <v>39871</v>
      </c>
      <c r="J328" s="42">
        <f t="shared" si="17"/>
        <v>21435</v>
      </c>
      <c r="K328" s="42">
        <f t="shared" si="17"/>
        <v>3670</v>
      </c>
      <c r="L328" s="41">
        <f t="shared" si="17"/>
        <v>263832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v>38930</v>
      </c>
      <c r="G335" s="18">
        <v>31905</v>
      </c>
      <c r="H335" s="18"/>
      <c r="I335" s="18"/>
      <c r="J335" s="18"/>
      <c r="K335" s="18"/>
      <c r="L335" s="19">
        <f t="shared" si="18"/>
        <v>70835</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38930</v>
      </c>
      <c r="G337" s="41">
        <f t="shared" si="19"/>
        <v>31905</v>
      </c>
      <c r="H337" s="41">
        <f t="shared" si="19"/>
        <v>0</v>
      </c>
      <c r="I337" s="41">
        <f t="shared" si="19"/>
        <v>0</v>
      </c>
      <c r="J337" s="41">
        <f t="shared" si="19"/>
        <v>0</v>
      </c>
      <c r="K337" s="41">
        <f t="shared" si="19"/>
        <v>0</v>
      </c>
      <c r="L337" s="41">
        <f t="shared" si="18"/>
        <v>70835</v>
      </c>
      <c r="M337" s="8"/>
      <c r="N337" s="266"/>
    </row>
    <row r="338" spans="1:43" s="3" customFormat="1" ht="12.2" customHeight="1" thickTop="1" x14ac:dyDescent="0.15">
      <c r="A338" s="38" t="s">
        <v>468</v>
      </c>
      <c r="B338" s="40">
        <v>14</v>
      </c>
      <c r="C338" s="40">
        <v>7</v>
      </c>
      <c r="D338" s="39" t="s">
        <v>431</v>
      </c>
      <c r="E338" s="40"/>
      <c r="F338" s="41">
        <f t="shared" ref="F338:L338" si="20">F290+F309+F328+F337</f>
        <v>332856</v>
      </c>
      <c r="G338" s="41">
        <f t="shared" si="20"/>
        <v>123679</v>
      </c>
      <c r="H338" s="41">
        <f t="shared" si="20"/>
        <v>223247</v>
      </c>
      <c r="I338" s="41">
        <f t="shared" si="20"/>
        <v>111198</v>
      </c>
      <c r="J338" s="41">
        <f t="shared" si="20"/>
        <v>64896</v>
      </c>
      <c r="K338" s="41">
        <f t="shared" si="20"/>
        <v>11115</v>
      </c>
      <c r="L338" s="41">
        <f t="shared" si="20"/>
        <v>866991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332856</v>
      </c>
      <c r="G352" s="41">
        <f>G338</f>
        <v>123679</v>
      </c>
      <c r="H352" s="41">
        <f>H338</f>
        <v>223247</v>
      </c>
      <c r="I352" s="41">
        <f>I338</f>
        <v>111198</v>
      </c>
      <c r="J352" s="41">
        <f>J338</f>
        <v>64896</v>
      </c>
      <c r="K352" s="47">
        <f>K338+K351</f>
        <v>11115</v>
      </c>
      <c r="L352" s="41">
        <f>L338+L351</f>
        <v>866991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6694+184697</f>
        <v>191391</v>
      </c>
      <c r="I358" s="18"/>
      <c r="J358" s="18">
        <v>84</v>
      </c>
      <c r="K358" s="18">
        <v>23</v>
      </c>
      <c r="L358" s="13">
        <f>SUM(F358:K358)</f>
        <v>191498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79568</v>
      </c>
      <c r="I359" s="18"/>
      <c r="J359" s="18">
        <v>36</v>
      </c>
      <c r="K359" s="18">
        <v>10</v>
      </c>
      <c r="L359" s="19">
        <f>SUM(F359:K359)</f>
        <v>79614</v>
      </c>
      <c r="M359" s="8"/>
      <c r="N359" s="266"/>
    </row>
    <row r="360" spans="1:22" s="3" customFormat="1" ht="12.2" customHeight="1" x14ac:dyDescent="0.15">
      <c r="A360" s="3" t="s">
        <v>543</v>
      </c>
      <c r="B360" s="2" t="s">
        <v>366</v>
      </c>
      <c r="C360" s="6">
        <v>3</v>
      </c>
      <c r="D360" s="2" t="s">
        <v>431</v>
      </c>
      <c r="E360" s="6"/>
      <c r="F360" s="18"/>
      <c r="G360" s="18"/>
      <c r="H360" s="18">
        <v>130332</v>
      </c>
      <c r="I360" s="18"/>
      <c r="J360" s="18">
        <v>60</v>
      </c>
      <c r="K360" s="18">
        <v>17</v>
      </c>
      <c r="L360" s="19">
        <f>SUM(F360:K360)</f>
        <v>130409</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401291</v>
      </c>
      <c r="I362" s="47">
        <f t="shared" si="22"/>
        <v>0</v>
      </c>
      <c r="J362" s="47">
        <f t="shared" si="22"/>
        <v>180</v>
      </c>
      <c r="K362" s="47">
        <f t="shared" si="22"/>
        <v>50</v>
      </c>
      <c r="L362" s="47">
        <f t="shared" si="22"/>
        <v>401521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404826</v>
      </c>
      <c r="G442" s="18"/>
      <c r="H442" s="18"/>
      <c r="I442" s="56">
        <f t="shared" si="33"/>
        <v>404826</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404826</v>
      </c>
      <c r="G446" s="13">
        <f>SUM(G439:G445)</f>
        <v>0</v>
      </c>
      <c r="H446" s="13">
        <f>SUM(H439:H445)</f>
        <v>0</v>
      </c>
      <c r="I446" s="13">
        <f>SUM(I439:I445)</f>
        <v>404826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404826</v>
      </c>
      <c r="G459" s="18"/>
      <c r="H459" s="18"/>
      <c r="I459" s="56">
        <f t="shared" si="34"/>
        <v>404826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404826</v>
      </c>
      <c r="G460" s="83">
        <f>SUM(G454:G459)</f>
        <v>0</v>
      </c>
      <c r="H460" s="83">
        <f>SUM(H454:H459)</f>
        <v>0</v>
      </c>
      <c r="I460" s="83">
        <f>SUM(I454:I459)</f>
        <v>404826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404826</v>
      </c>
      <c r="G461" s="42">
        <f>G452+G460</f>
        <v>0</v>
      </c>
      <c r="H461" s="42">
        <f>H452+H460</f>
        <v>0</v>
      </c>
      <c r="I461" s="42">
        <f>I452+I460</f>
        <v>404826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699293</v>
      </c>
      <c r="G465" s="18">
        <v>7026</v>
      </c>
      <c r="H465" s="18">
        <v>0</v>
      </c>
      <c r="I465" s="18"/>
      <c r="J465" s="18">
        <v>404826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16417827</v>
      </c>
      <c r="G468" s="18">
        <f t="shared" ref="G468:I468" si="35">G193</f>
        <v>403705</v>
      </c>
      <c r="H468" s="18">
        <f t="shared" si="35"/>
        <v>1196507</v>
      </c>
      <c r="I468" s="18">
        <f t="shared" si="35"/>
        <v>0</v>
      </c>
      <c r="J468" s="18">
        <f>L408</f>
        <v>0</v>
      </c>
      <c r="K468" s="24" t="s">
        <v>288</v>
      </c>
      <c r="L468" s="24" t="s">
        <v>288</v>
      </c>
      <c r="N468" s="265"/>
    </row>
    <row r="469" spans="1:14" s="52" customFormat="1" ht="12.2" customHeight="1" x14ac:dyDescent="0.2">
      <c r="A469" s="93" t="s">
        <v>611</v>
      </c>
      <c r="B469" s="75">
        <v>19</v>
      </c>
      <c r="C469" s="80">
        <v>3</v>
      </c>
      <c r="D469" s="2" t="s">
        <v>432</v>
      </c>
      <c r="E469" s="80"/>
      <c r="F469" s="18">
        <f>1101227-699293-135403</f>
        <v>266531</v>
      </c>
      <c r="G469" s="18">
        <v>24740</v>
      </c>
      <c r="H469" s="18">
        <v>-292425</v>
      </c>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16684358</v>
      </c>
      <c r="G470" s="53">
        <f>SUM(G468:G469)</f>
        <v>428445</v>
      </c>
      <c r="H470" s="53">
        <f>SUM(H468:H469)</f>
        <v>904082</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16915262</v>
      </c>
      <c r="G472" s="18">
        <f>L362</f>
        <v>401521</v>
      </c>
      <c r="H472" s="18">
        <f>L338</f>
        <v>866991</v>
      </c>
      <c r="I472" s="18">
        <f>L382</f>
        <v>0</v>
      </c>
      <c r="J472" s="18">
        <f>L434</f>
        <v>0</v>
      </c>
      <c r="K472" s="24" t="s">
        <v>288</v>
      </c>
      <c r="L472" s="24" t="s">
        <v>288</v>
      </c>
      <c r="N472" s="265"/>
    </row>
    <row r="473" spans="1:14" s="52" customFormat="1" ht="12.2" customHeight="1" x14ac:dyDescent="0.2">
      <c r="A473" s="93" t="s">
        <v>613</v>
      </c>
      <c r="B473" s="75">
        <v>19</v>
      </c>
      <c r="C473" s="80">
        <v>6</v>
      </c>
      <c r="D473" s="2" t="s">
        <v>432</v>
      </c>
      <c r="E473" s="80"/>
      <c r="F473" s="18"/>
      <c r="G473" s="18">
        <v>7026</v>
      </c>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16915262</v>
      </c>
      <c r="G474" s="53">
        <f>SUM(G472:G473)</f>
        <v>408547</v>
      </c>
      <c r="H474" s="53">
        <f>SUM(H472:H473)</f>
        <v>866991</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468389</v>
      </c>
      <c r="G476" s="53">
        <f>(G465+G470)- G474</f>
        <v>26924</v>
      </c>
      <c r="H476" s="53">
        <f>(H465+H470)- H474</f>
        <v>37091</v>
      </c>
      <c r="I476" s="53">
        <f>(I465+I470)- I474</f>
        <v>0</v>
      </c>
      <c r="J476" s="53">
        <f>(J465+J470)- J474</f>
        <v>404826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1611</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1612</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1613</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10158100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5060000</v>
      </c>
      <c r="G495" s="18"/>
      <c r="H495" s="18"/>
      <c r="I495" s="18"/>
      <c r="J495" s="18"/>
      <c r="K495" s="53">
        <f>SUM(F495:J495)</f>
        <v>5060000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6">SUM(F496:J496)</f>
        <v>0</v>
      </c>
      <c r="L496" s="24" t="s">
        <v>288</v>
      </c>
      <c r="N496" s="265"/>
    </row>
    <row r="497" spans="1:14" s="52" customFormat="1" ht="12.2" customHeight="1" x14ac:dyDescent="0.2">
      <c r="A497" s="22" t="s">
        <v>621</v>
      </c>
      <c r="B497" s="75">
        <v>20</v>
      </c>
      <c r="C497" s="115">
        <v>8</v>
      </c>
      <c r="D497" s="2" t="s">
        <v>432</v>
      </c>
      <c r="E497" s="115"/>
      <c r="F497" s="18">
        <v>510000</v>
      </c>
      <c r="G497" s="18"/>
      <c r="H497" s="18"/>
      <c r="I497" s="18"/>
      <c r="J497" s="18"/>
      <c r="K497" s="53">
        <f t="shared" si="36"/>
        <v>510000</v>
      </c>
      <c r="L497" s="24" t="s">
        <v>288</v>
      </c>
      <c r="N497" s="265"/>
    </row>
    <row r="498" spans="1:14" s="52" customFormat="1" ht="12.2" customHeight="1" x14ac:dyDescent="0.2">
      <c r="A498" s="200" t="s">
        <v>622</v>
      </c>
      <c r="B498" s="201">
        <v>20</v>
      </c>
      <c r="C498" s="202">
        <v>9</v>
      </c>
      <c r="D498" s="203" t="s">
        <v>432</v>
      </c>
      <c r="E498" s="202"/>
      <c r="F498" s="204">
        <f>5060000-510000</f>
        <v>4550000</v>
      </c>
      <c r="G498" s="204"/>
      <c r="H498" s="204"/>
      <c r="I498" s="204"/>
      <c r="J498" s="204"/>
      <c r="K498" s="205">
        <f t="shared" si="36"/>
        <v>4550000</v>
      </c>
      <c r="L498" s="206" t="s">
        <v>288</v>
      </c>
      <c r="N498" s="265"/>
    </row>
    <row r="499" spans="1:14" s="52" customFormat="1" ht="12.2" customHeight="1" thickBot="1" x14ac:dyDescent="0.25">
      <c r="A499" s="22" t="s">
        <v>623</v>
      </c>
      <c r="B499" s="75">
        <v>20</v>
      </c>
      <c r="C499" s="115">
        <v>10</v>
      </c>
      <c r="D499" s="2" t="s">
        <v>432</v>
      </c>
      <c r="E499" s="115"/>
      <c r="F499" s="18">
        <f>903726-230150</f>
        <v>673576</v>
      </c>
      <c r="G499" s="18"/>
      <c r="H499" s="18"/>
      <c r="I499" s="18"/>
      <c r="J499" s="18"/>
      <c r="K499" s="53">
        <f t="shared" si="36"/>
        <v>673576</v>
      </c>
      <c r="L499" s="24" t="s">
        <v>288</v>
      </c>
      <c r="N499" s="265"/>
    </row>
    <row r="500" spans="1:14" s="52" customFormat="1" ht="12.2" customHeight="1" thickTop="1" x14ac:dyDescent="0.2">
      <c r="A500" s="139" t="s">
        <v>624</v>
      </c>
      <c r="B500" s="44">
        <v>20</v>
      </c>
      <c r="C500" s="195">
        <v>11</v>
      </c>
      <c r="D500" s="39" t="s">
        <v>432</v>
      </c>
      <c r="E500" s="195"/>
      <c r="F500" s="42">
        <f>SUM(F498:F499)</f>
        <v>5223576</v>
      </c>
      <c r="G500" s="42">
        <f>SUM(G498:G499)</f>
        <v>0</v>
      </c>
      <c r="H500" s="42">
        <f>SUM(H498:H499)</f>
        <v>0</v>
      </c>
      <c r="I500" s="42">
        <f>SUM(I498:I499)</f>
        <v>0</v>
      </c>
      <c r="J500" s="42">
        <f>SUM(J498:J499)</f>
        <v>0</v>
      </c>
      <c r="K500" s="42">
        <f t="shared" si="36"/>
        <v>5223576</v>
      </c>
      <c r="L500" s="45" t="s">
        <v>288</v>
      </c>
      <c r="N500" s="265"/>
    </row>
    <row r="501" spans="1:14" s="52" customFormat="1" ht="12.2" customHeight="1" x14ac:dyDescent="0.2">
      <c r="A501" s="200" t="s">
        <v>651</v>
      </c>
      <c r="B501" s="201">
        <v>20</v>
      </c>
      <c r="C501" s="202">
        <v>12</v>
      </c>
      <c r="D501" s="203" t="s">
        <v>432</v>
      </c>
      <c r="E501" s="202"/>
      <c r="F501" s="204">
        <v>510000</v>
      </c>
      <c r="G501" s="204"/>
      <c r="H501" s="204"/>
      <c r="I501" s="204"/>
      <c r="J501" s="204"/>
      <c r="K501" s="205">
        <f t="shared" si="36"/>
        <v>510000</v>
      </c>
      <c r="L501" s="206" t="s">
        <v>288</v>
      </c>
      <c r="N501" s="265"/>
    </row>
    <row r="502" spans="1:14" s="52" customFormat="1" ht="12.2" customHeight="1" thickBot="1" x14ac:dyDescent="0.25">
      <c r="A502" s="22" t="s">
        <v>625</v>
      </c>
      <c r="B502" s="75">
        <v>20</v>
      </c>
      <c r="C502" s="115">
        <v>13</v>
      </c>
      <c r="D502" s="2" t="s">
        <v>432</v>
      </c>
      <c r="E502" s="115"/>
      <c r="F502" s="18">
        <v>215000</v>
      </c>
      <c r="G502" s="18"/>
      <c r="H502" s="18"/>
      <c r="I502" s="18"/>
      <c r="J502" s="18"/>
      <c r="K502" s="53">
        <f t="shared" si="36"/>
        <v>215000</v>
      </c>
      <c r="L502" s="24" t="s">
        <v>288</v>
      </c>
      <c r="N502" s="265"/>
    </row>
    <row r="503" spans="1:14" s="52" customFormat="1" ht="12.2" customHeight="1" thickTop="1" x14ac:dyDescent="0.2">
      <c r="A503" s="139" t="s">
        <v>626</v>
      </c>
      <c r="B503" s="44">
        <v>20</v>
      </c>
      <c r="C503" s="195">
        <v>14</v>
      </c>
      <c r="D503" s="39" t="s">
        <v>432</v>
      </c>
      <c r="E503" s="195"/>
      <c r="F503" s="42">
        <f>SUM(F501:F502)</f>
        <v>725000</v>
      </c>
      <c r="G503" s="42">
        <f>SUM(G501:G502)</f>
        <v>0</v>
      </c>
      <c r="H503" s="42">
        <f>SUM(H501:H502)</f>
        <v>0</v>
      </c>
      <c r="I503" s="42">
        <f>SUM(I501:I502)</f>
        <v>0</v>
      </c>
      <c r="J503" s="42">
        <f>SUM(J501:J502)</f>
        <v>0</v>
      </c>
      <c r="K503" s="42">
        <f t="shared" si="36"/>
        <v>725000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803202</f>
        <v>803202</v>
      </c>
      <c r="G521" s="18">
        <f>325419+53</f>
        <v>325472</v>
      </c>
      <c r="H521" s="18">
        <f>415801+189414</f>
        <v>605215</v>
      </c>
      <c r="I521" s="18">
        <f>4560+8675</f>
        <v>13235</v>
      </c>
      <c r="J521" s="18">
        <f>2014+8351</f>
        <v>10365</v>
      </c>
      <c r="K521" s="18">
        <v>161</v>
      </c>
      <c r="L521" s="88">
        <f>SUM(F521:K521)</f>
        <v>1757650</v>
      </c>
      <c r="N521" s="265"/>
    </row>
    <row r="522" spans="1:14" s="52" customFormat="1" ht="12.2" customHeight="1" x14ac:dyDescent="0.2">
      <c r="A522" s="22" t="s">
        <v>634</v>
      </c>
      <c r="B522" s="105">
        <v>21</v>
      </c>
      <c r="C522" s="115">
        <v>2</v>
      </c>
      <c r="D522" s="2" t="s">
        <v>432</v>
      </c>
      <c r="E522" s="115"/>
      <c r="F522" s="18">
        <f>293001</f>
        <v>293001</v>
      </c>
      <c r="G522" s="18">
        <f>152193+23</f>
        <v>152216</v>
      </c>
      <c r="H522" s="18">
        <f>117980+81600</f>
        <v>199580</v>
      </c>
      <c r="I522" s="18">
        <f>4652+3737</f>
        <v>8389</v>
      </c>
      <c r="J522" s="18">
        <f>2630+3597</f>
        <v>6227</v>
      </c>
      <c r="K522" s="18">
        <v>70</v>
      </c>
      <c r="L522" s="88">
        <f>SUM(F522:K522)</f>
        <v>659483</v>
      </c>
      <c r="N522" s="265"/>
    </row>
    <row r="523" spans="1:14" s="52" customFormat="1" ht="12.2" customHeight="1" thickBot="1" x14ac:dyDescent="0.25">
      <c r="A523" s="22" t="s">
        <v>635</v>
      </c>
      <c r="B523" s="105">
        <v>21</v>
      </c>
      <c r="C523" s="115">
        <v>3</v>
      </c>
      <c r="D523" s="2" t="s">
        <v>432</v>
      </c>
      <c r="E523" s="115"/>
      <c r="F523" s="18">
        <f>247051</f>
        <v>247051</v>
      </c>
      <c r="G523" s="18">
        <f>187862+38</f>
        <v>187900</v>
      </c>
      <c r="H523" s="18">
        <f>706862+133661</f>
        <v>840523</v>
      </c>
      <c r="I523" s="18">
        <f>2338+6121</f>
        <v>8459</v>
      </c>
      <c r="J523" s="18">
        <v>5893</v>
      </c>
      <c r="K523" s="18">
        <v>114</v>
      </c>
      <c r="L523" s="88">
        <f>SUM(F523:K523)</f>
        <v>1289940</v>
      </c>
      <c r="N523" s="265"/>
    </row>
    <row r="524" spans="1:14" s="52" customFormat="1" ht="12.2" customHeight="1" thickTop="1" x14ac:dyDescent="0.2">
      <c r="A524" s="139" t="s">
        <v>63</v>
      </c>
      <c r="B524" s="107">
        <v>21</v>
      </c>
      <c r="C524" s="195">
        <v>4</v>
      </c>
      <c r="D524" s="196" t="s">
        <v>432</v>
      </c>
      <c r="E524" s="195"/>
      <c r="F524" s="108">
        <f>SUM(F521:F523)</f>
        <v>1343254</v>
      </c>
      <c r="G524" s="108">
        <f t="shared" ref="G524:L524" si="37">SUM(G521:G523)</f>
        <v>665588</v>
      </c>
      <c r="H524" s="108">
        <f t="shared" si="37"/>
        <v>1645318</v>
      </c>
      <c r="I524" s="108">
        <f t="shared" si="37"/>
        <v>30083</v>
      </c>
      <c r="J524" s="108">
        <f t="shared" si="37"/>
        <v>22485</v>
      </c>
      <c r="K524" s="108">
        <f t="shared" si="37"/>
        <v>345</v>
      </c>
      <c r="L524" s="89">
        <f t="shared" si="37"/>
        <v>3707073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210167+102788</f>
        <v>312955</v>
      </c>
      <c r="G526" s="18">
        <f>121212+43617</f>
        <v>164829</v>
      </c>
      <c r="H526" s="18">
        <f>2383+41003</f>
        <v>43386</v>
      </c>
      <c r="I526" s="18">
        <f>2031</f>
        <v>2031</v>
      </c>
      <c r="J526" s="18">
        <v>0</v>
      </c>
      <c r="K526" s="18">
        <v>0</v>
      </c>
      <c r="L526" s="88">
        <f>SUM(F526:K526)</f>
        <v>523201</v>
      </c>
      <c r="M526" s="8"/>
      <c r="N526" s="266"/>
    </row>
    <row r="527" spans="1:14" s="3" customFormat="1" ht="12.2" customHeight="1" x14ac:dyDescent="0.15">
      <c r="A527" s="22" t="s">
        <v>634</v>
      </c>
      <c r="B527" s="105">
        <v>21</v>
      </c>
      <c r="C527" s="115">
        <v>6</v>
      </c>
      <c r="D527" s="2" t="s">
        <v>432</v>
      </c>
      <c r="E527" s="115"/>
      <c r="F527" s="18">
        <f>57549+44281</f>
        <v>101830</v>
      </c>
      <c r="G527" s="18">
        <f>42364+18790</f>
        <v>61154</v>
      </c>
      <c r="H527" s="18">
        <f>806+17664</f>
        <v>18470</v>
      </c>
      <c r="I527" s="18">
        <f>32</f>
        <v>32</v>
      </c>
      <c r="J527" s="18">
        <v>0</v>
      </c>
      <c r="K527" s="18">
        <v>0</v>
      </c>
      <c r="L527" s="88">
        <f>SUM(F527:K527)</f>
        <v>181486</v>
      </c>
      <c r="M527" s="8"/>
      <c r="N527" s="266"/>
    </row>
    <row r="528" spans="1:14" s="3" customFormat="1" ht="12.2" customHeight="1" thickBot="1" x14ac:dyDescent="0.2">
      <c r="A528" s="22" t="s">
        <v>635</v>
      </c>
      <c r="B528" s="118">
        <v>21</v>
      </c>
      <c r="C528" s="118">
        <v>7</v>
      </c>
      <c r="D528" s="2" t="s">
        <v>432</v>
      </c>
      <c r="E528" s="118"/>
      <c r="F528" s="18">
        <f>64798+72533</f>
        <v>137331</v>
      </c>
      <c r="G528" s="18">
        <f>46475+30779</f>
        <v>77254</v>
      </c>
      <c r="H528" s="18">
        <f>7777+28934</f>
        <v>36711</v>
      </c>
      <c r="I528" s="18">
        <f>53</f>
        <v>53</v>
      </c>
      <c r="J528" s="18">
        <v>0</v>
      </c>
      <c r="K528" s="18">
        <v>0</v>
      </c>
      <c r="L528" s="88">
        <f>SUM(F528:K528)</f>
        <v>251349</v>
      </c>
      <c r="M528" s="8"/>
      <c r="N528" s="266"/>
    </row>
    <row r="529" spans="1:14" s="3" customFormat="1" ht="12.2" customHeight="1" thickTop="1" x14ac:dyDescent="0.15">
      <c r="A529" s="139" t="s">
        <v>65</v>
      </c>
      <c r="B529" s="107">
        <v>21</v>
      </c>
      <c r="C529" s="107">
        <v>8</v>
      </c>
      <c r="D529" s="158" t="s">
        <v>432</v>
      </c>
      <c r="E529" s="107"/>
      <c r="F529" s="89">
        <f>SUM(F526:F528)</f>
        <v>552116</v>
      </c>
      <c r="G529" s="89">
        <f t="shared" ref="G529:L529" si="38">SUM(G526:G528)</f>
        <v>303237</v>
      </c>
      <c r="H529" s="89">
        <f t="shared" si="38"/>
        <v>98567</v>
      </c>
      <c r="I529" s="89">
        <f t="shared" si="38"/>
        <v>2116</v>
      </c>
      <c r="J529" s="89">
        <f t="shared" si="38"/>
        <v>0</v>
      </c>
      <c r="K529" s="89">
        <f t="shared" si="38"/>
        <v>0</v>
      </c>
      <c r="L529" s="89">
        <f t="shared" si="38"/>
        <v>956036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69565+51327</f>
        <v>120892</v>
      </c>
      <c r="G531" s="18">
        <f>43782+40942</f>
        <v>84724</v>
      </c>
      <c r="H531" s="18">
        <v>616</v>
      </c>
      <c r="I531" s="18">
        <v>0</v>
      </c>
      <c r="J531" s="18">
        <v>168</v>
      </c>
      <c r="K531" s="18">
        <v>873</v>
      </c>
      <c r="L531" s="88">
        <f>SUM(F531:K531)</f>
        <v>207273</v>
      </c>
      <c r="M531" s="8"/>
      <c r="N531" s="266"/>
    </row>
    <row r="532" spans="1:14" s="3" customFormat="1" ht="12.2" customHeight="1" x14ac:dyDescent="0.15">
      <c r="A532" s="22" t="s">
        <v>634</v>
      </c>
      <c r="B532" s="105">
        <v>21</v>
      </c>
      <c r="C532" s="105">
        <v>10</v>
      </c>
      <c r="D532" s="2" t="s">
        <v>432</v>
      </c>
      <c r="E532" s="105"/>
      <c r="F532" s="18">
        <f>41482+22112</f>
        <v>63594</v>
      </c>
      <c r="G532" s="18">
        <f>22297+17638</f>
        <v>39935</v>
      </c>
      <c r="H532" s="18">
        <v>265</v>
      </c>
      <c r="I532" s="18">
        <v>0</v>
      </c>
      <c r="J532" s="18">
        <v>72</v>
      </c>
      <c r="K532" s="18">
        <v>376</v>
      </c>
      <c r="L532" s="88">
        <f>SUM(F532:K532)</f>
        <v>104242</v>
      </c>
      <c r="M532" s="8"/>
      <c r="N532" s="266"/>
    </row>
    <row r="533" spans="1:14" s="3" customFormat="1" ht="12.2" customHeight="1" thickBot="1" x14ac:dyDescent="0.2">
      <c r="A533" s="22" t="s">
        <v>635</v>
      </c>
      <c r="B533" s="105">
        <v>21</v>
      </c>
      <c r="C533" s="105">
        <v>11</v>
      </c>
      <c r="D533" s="2" t="s">
        <v>432</v>
      </c>
      <c r="E533" s="105"/>
      <c r="F533" s="18">
        <f>41482+36219</f>
        <v>77701</v>
      </c>
      <c r="G533" s="18">
        <f>19922+28891</f>
        <v>48813</v>
      </c>
      <c r="H533" s="18">
        <v>435</v>
      </c>
      <c r="I533" s="18">
        <v>0</v>
      </c>
      <c r="J533" s="18">
        <v>118</v>
      </c>
      <c r="K533" s="18">
        <v>616</v>
      </c>
      <c r="L533" s="88">
        <f>SUM(F533:K533)</f>
        <v>127683</v>
      </c>
      <c r="M533" s="8"/>
      <c r="N533" s="266"/>
    </row>
    <row r="534" spans="1:14" s="3" customFormat="1" ht="12.2" customHeight="1" thickTop="1" x14ac:dyDescent="0.15">
      <c r="A534" s="139" t="s">
        <v>67</v>
      </c>
      <c r="B534" s="107">
        <v>21</v>
      </c>
      <c r="C534" s="107">
        <v>12</v>
      </c>
      <c r="D534" s="158" t="s">
        <v>432</v>
      </c>
      <c r="E534" s="107"/>
      <c r="F534" s="89">
        <f>SUM(F531:F533)</f>
        <v>262187</v>
      </c>
      <c r="G534" s="89">
        <f t="shared" ref="G534:L534" si="39">SUM(G531:G533)</f>
        <v>173472</v>
      </c>
      <c r="H534" s="89">
        <f t="shared" si="39"/>
        <v>1316</v>
      </c>
      <c r="I534" s="89">
        <f t="shared" si="39"/>
        <v>0</v>
      </c>
      <c r="J534" s="89">
        <f t="shared" si="39"/>
        <v>358</v>
      </c>
      <c r="K534" s="89">
        <f t="shared" si="39"/>
        <v>1865</v>
      </c>
      <c r="L534" s="89">
        <f t="shared" si="39"/>
        <v>439198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0</v>
      </c>
      <c r="I539" s="89">
        <f t="shared" si="40"/>
        <v>0</v>
      </c>
      <c r="J539" s="89">
        <f t="shared" si="40"/>
        <v>0</v>
      </c>
      <c r="K539" s="89">
        <f t="shared" si="40"/>
        <v>0</v>
      </c>
      <c r="L539" s="89">
        <f t="shared" si="40"/>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31015</v>
      </c>
      <c r="G541" s="18">
        <v>17476</v>
      </c>
      <c r="H541" s="18">
        <f>64735+154</f>
        <v>64889</v>
      </c>
      <c r="I541" s="18">
        <v>5958</v>
      </c>
      <c r="J541" s="18"/>
      <c r="K541" s="18"/>
      <c r="L541" s="88">
        <f>SUM(F541:K541)</f>
        <v>119338</v>
      </c>
      <c r="M541" s="8"/>
      <c r="N541" s="266"/>
    </row>
    <row r="542" spans="1:14" s="3" customFormat="1" ht="12.2" customHeight="1" x14ac:dyDescent="0.15">
      <c r="A542" s="22" t="s">
        <v>634</v>
      </c>
      <c r="B542" s="105">
        <v>21</v>
      </c>
      <c r="C542" s="105">
        <v>18</v>
      </c>
      <c r="D542" s="2" t="s">
        <v>432</v>
      </c>
      <c r="E542" s="105"/>
      <c r="F542" s="18">
        <v>13361</v>
      </c>
      <c r="G542" s="18">
        <v>7529</v>
      </c>
      <c r="H542" s="18">
        <f>468+66</f>
        <v>534</v>
      </c>
      <c r="I542" s="18">
        <v>2567</v>
      </c>
      <c r="J542" s="18"/>
      <c r="K542" s="18"/>
      <c r="L542" s="88">
        <f>SUM(F542:K542)</f>
        <v>23991</v>
      </c>
      <c r="M542" s="8"/>
      <c r="N542" s="266"/>
    </row>
    <row r="543" spans="1:14" s="3" customFormat="1" ht="12.2" customHeight="1" thickBot="1" x14ac:dyDescent="0.2">
      <c r="A543" s="22" t="s">
        <v>635</v>
      </c>
      <c r="B543" s="105">
        <v>21</v>
      </c>
      <c r="C543" s="105">
        <v>19</v>
      </c>
      <c r="D543" s="2" t="s">
        <v>432</v>
      </c>
      <c r="E543" s="105"/>
      <c r="F543" s="18">
        <v>21886</v>
      </c>
      <c r="G543" s="18">
        <v>12332</v>
      </c>
      <c r="H543" s="18">
        <f>111841+109</f>
        <v>111950</v>
      </c>
      <c r="I543" s="18">
        <v>4204</v>
      </c>
      <c r="J543" s="18"/>
      <c r="K543" s="18"/>
      <c r="L543" s="88">
        <f>SUM(F543:K543)</f>
        <v>150372</v>
      </c>
      <c r="M543" s="8"/>
      <c r="N543" s="266"/>
    </row>
    <row r="544" spans="1:14" s="3" customFormat="1" ht="12.2" customHeight="1" thickTop="1" thickBot="1" x14ac:dyDescent="0.2">
      <c r="A544" s="130" t="s">
        <v>71</v>
      </c>
      <c r="B544" s="191">
        <v>21</v>
      </c>
      <c r="C544" s="191">
        <v>20</v>
      </c>
      <c r="D544" s="192" t="s">
        <v>432</v>
      </c>
      <c r="E544" s="191"/>
      <c r="F544" s="193">
        <f>SUM(F541:F543)</f>
        <v>66262</v>
      </c>
      <c r="G544" s="193">
        <f t="shared" ref="G544:L544" si="41">SUM(G541:G543)</f>
        <v>37337</v>
      </c>
      <c r="H544" s="193">
        <f t="shared" si="41"/>
        <v>177373</v>
      </c>
      <c r="I544" s="193">
        <f t="shared" si="41"/>
        <v>12729</v>
      </c>
      <c r="J544" s="193">
        <f t="shared" si="41"/>
        <v>0</v>
      </c>
      <c r="K544" s="193">
        <f t="shared" si="41"/>
        <v>0</v>
      </c>
      <c r="L544" s="193">
        <f t="shared" si="41"/>
        <v>293701</v>
      </c>
      <c r="M544" s="8"/>
      <c r="N544" s="266"/>
    </row>
    <row r="545" spans="1:14" s="3" customFormat="1" ht="12.2" customHeight="1" thickTop="1" x14ac:dyDescent="0.15">
      <c r="A545" s="98" t="s">
        <v>72</v>
      </c>
      <c r="B545" s="107">
        <v>21</v>
      </c>
      <c r="C545" s="107">
        <v>21</v>
      </c>
      <c r="D545" s="158" t="s">
        <v>432</v>
      </c>
      <c r="E545" s="107"/>
      <c r="F545" s="89">
        <f>F524+F529+F534+F539+F544</f>
        <v>2223819</v>
      </c>
      <c r="G545" s="89">
        <f t="shared" ref="G545:L545" si="42">G524+G529+G534+G539+G544</f>
        <v>1179634</v>
      </c>
      <c r="H545" s="89">
        <f t="shared" si="42"/>
        <v>1922574</v>
      </c>
      <c r="I545" s="89">
        <f t="shared" si="42"/>
        <v>44928</v>
      </c>
      <c r="J545" s="89">
        <f t="shared" si="42"/>
        <v>22843</v>
      </c>
      <c r="K545" s="89">
        <f t="shared" si="42"/>
        <v>2210</v>
      </c>
      <c r="L545" s="89">
        <f t="shared" si="42"/>
        <v>5396008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1757650</v>
      </c>
      <c r="G549" s="87">
        <f>L526</f>
        <v>523201</v>
      </c>
      <c r="H549" s="87">
        <f>L531</f>
        <v>207273</v>
      </c>
      <c r="I549" s="87">
        <f>L536</f>
        <v>0</v>
      </c>
      <c r="J549" s="87">
        <f>L541</f>
        <v>119338</v>
      </c>
      <c r="K549" s="87">
        <f>SUM(F549:J549)</f>
        <v>2607462</v>
      </c>
      <c r="L549" s="24" t="s">
        <v>288</v>
      </c>
      <c r="M549" s="8"/>
      <c r="N549" s="266"/>
    </row>
    <row r="550" spans="1:14" s="3" customFormat="1" ht="12.2" customHeight="1" x14ac:dyDescent="0.15">
      <c r="A550" s="22" t="s">
        <v>634</v>
      </c>
      <c r="B550" s="75">
        <v>21</v>
      </c>
      <c r="C550" s="75">
        <v>23</v>
      </c>
      <c r="D550" s="2" t="s">
        <v>432</v>
      </c>
      <c r="E550" s="75"/>
      <c r="F550" s="87">
        <f>L522</f>
        <v>659483</v>
      </c>
      <c r="G550" s="87">
        <f>L527</f>
        <v>181486</v>
      </c>
      <c r="H550" s="87">
        <f>L532</f>
        <v>104242</v>
      </c>
      <c r="I550" s="87">
        <f>L537</f>
        <v>0</v>
      </c>
      <c r="J550" s="87">
        <f>L542</f>
        <v>23991</v>
      </c>
      <c r="K550" s="87">
        <f>SUM(F550:J550)</f>
        <v>969202</v>
      </c>
      <c r="L550" s="24" t="s">
        <v>288</v>
      </c>
      <c r="M550" s="8"/>
      <c r="N550" s="266"/>
    </row>
    <row r="551" spans="1:14" s="3" customFormat="1" ht="12.2" customHeight="1" thickBot="1" x14ac:dyDescent="0.2">
      <c r="A551" s="22" t="s">
        <v>635</v>
      </c>
      <c r="B551" s="75">
        <v>21</v>
      </c>
      <c r="C551" s="75">
        <v>24</v>
      </c>
      <c r="D551" s="2" t="s">
        <v>432</v>
      </c>
      <c r="E551" s="75"/>
      <c r="F551" s="87">
        <f>L523</f>
        <v>1289940</v>
      </c>
      <c r="G551" s="87">
        <f>L528</f>
        <v>251349</v>
      </c>
      <c r="H551" s="87">
        <f>L533</f>
        <v>127683</v>
      </c>
      <c r="I551" s="87">
        <f>L538</f>
        <v>0</v>
      </c>
      <c r="J551" s="87">
        <f>L543</f>
        <v>150372</v>
      </c>
      <c r="K551" s="87">
        <f>SUM(F551:J551)</f>
        <v>1819344</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3707073</v>
      </c>
      <c r="G552" s="89">
        <f t="shared" si="43"/>
        <v>956036</v>
      </c>
      <c r="H552" s="89">
        <f t="shared" si="43"/>
        <v>439198</v>
      </c>
      <c r="I552" s="89">
        <f t="shared" si="43"/>
        <v>0</v>
      </c>
      <c r="J552" s="89">
        <f t="shared" si="43"/>
        <v>293701</v>
      </c>
      <c r="K552" s="89">
        <f t="shared" si="43"/>
        <v>5396008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4555</v>
      </c>
      <c r="G562" s="18">
        <v>373</v>
      </c>
      <c r="H562" s="18">
        <v>10237</v>
      </c>
      <c r="I562" s="18">
        <v>194</v>
      </c>
      <c r="J562" s="18"/>
      <c r="K562" s="18"/>
      <c r="L562" s="88">
        <f>SUM(F562:K562)</f>
        <v>15359</v>
      </c>
      <c r="M562" s="8"/>
      <c r="N562" s="266"/>
    </row>
    <row r="563" spans="1:14" s="3" customFormat="1" ht="12.2" customHeight="1" x14ac:dyDescent="0.15">
      <c r="A563" s="22" t="s">
        <v>634</v>
      </c>
      <c r="B563" s="105">
        <v>22</v>
      </c>
      <c r="C563" s="115">
        <v>6</v>
      </c>
      <c r="D563" s="2" t="s">
        <v>432</v>
      </c>
      <c r="E563" s="115"/>
      <c r="F563" s="18">
        <v>1962</v>
      </c>
      <c r="G563" s="18">
        <v>161</v>
      </c>
      <c r="H563" s="18">
        <v>4410</v>
      </c>
      <c r="I563" s="18">
        <v>84</v>
      </c>
      <c r="J563" s="18"/>
      <c r="K563" s="18"/>
      <c r="L563" s="88">
        <f>SUM(F563:K563)</f>
        <v>6617</v>
      </c>
      <c r="M563" s="8"/>
      <c r="N563" s="266"/>
    </row>
    <row r="564" spans="1:14" s="3" customFormat="1" ht="12.2" customHeight="1" thickBot="1" x14ac:dyDescent="0.2">
      <c r="A564" s="22" t="s">
        <v>635</v>
      </c>
      <c r="B564" s="105">
        <v>22</v>
      </c>
      <c r="C564" s="118">
        <v>7</v>
      </c>
      <c r="D564" s="2" t="s">
        <v>432</v>
      </c>
      <c r="E564" s="118"/>
      <c r="F564" s="18">
        <v>3215</v>
      </c>
      <c r="G564" s="18">
        <v>263</v>
      </c>
      <c r="H564" s="18">
        <v>7224</v>
      </c>
      <c r="I564" s="18">
        <v>137</v>
      </c>
      <c r="J564" s="18"/>
      <c r="K564" s="18"/>
      <c r="L564" s="88">
        <f>SUM(F564:K564)</f>
        <v>10839</v>
      </c>
      <c r="M564" s="8"/>
      <c r="N564" s="266"/>
    </row>
    <row r="565" spans="1:14" s="3" customFormat="1" ht="12.2" customHeight="1" thickTop="1" x14ac:dyDescent="0.15">
      <c r="A565" s="139" t="s">
        <v>65</v>
      </c>
      <c r="B565" s="107">
        <v>22</v>
      </c>
      <c r="C565" s="107">
        <v>8</v>
      </c>
      <c r="D565" s="196" t="s">
        <v>432</v>
      </c>
      <c r="E565" s="107"/>
      <c r="F565" s="89">
        <f t="shared" ref="F565:L565" si="45">SUM(F562:F564)</f>
        <v>9732</v>
      </c>
      <c r="G565" s="89">
        <f t="shared" si="45"/>
        <v>797</v>
      </c>
      <c r="H565" s="89">
        <f t="shared" si="45"/>
        <v>21871</v>
      </c>
      <c r="I565" s="89">
        <f t="shared" si="45"/>
        <v>415</v>
      </c>
      <c r="J565" s="89">
        <f t="shared" si="45"/>
        <v>0</v>
      </c>
      <c r="K565" s="89">
        <f t="shared" si="45"/>
        <v>0</v>
      </c>
      <c r="L565" s="89">
        <f t="shared" si="45"/>
        <v>32815</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v>4449</v>
      </c>
      <c r="I567" s="18"/>
      <c r="J567" s="18"/>
      <c r="K567" s="18"/>
      <c r="L567" s="88">
        <f>SUM(F567:K567)</f>
        <v>4449</v>
      </c>
      <c r="M567" s="8"/>
      <c r="N567" s="266"/>
    </row>
    <row r="568" spans="1:14" s="3" customFormat="1" ht="12.2" customHeight="1" x14ac:dyDescent="0.15">
      <c r="A568" s="22" t="s">
        <v>634</v>
      </c>
      <c r="B568" s="105">
        <v>22</v>
      </c>
      <c r="C568" s="105">
        <v>10</v>
      </c>
      <c r="D568" s="2" t="s">
        <v>432</v>
      </c>
      <c r="E568" s="105"/>
      <c r="F568" s="18"/>
      <c r="G568" s="18"/>
      <c r="H568" s="18">
        <v>1917</v>
      </c>
      <c r="I568" s="18"/>
      <c r="J568" s="18"/>
      <c r="K568" s="18"/>
      <c r="L568" s="88">
        <f>SUM(F568:K568)</f>
        <v>1917</v>
      </c>
      <c r="M568" s="8"/>
      <c r="N568" s="266"/>
    </row>
    <row r="569" spans="1:14" s="3" customFormat="1" ht="12.2" customHeight="1" thickBot="1" x14ac:dyDescent="0.2">
      <c r="A569" s="22" t="s">
        <v>635</v>
      </c>
      <c r="B569" s="105">
        <v>22</v>
      </c>
      <c r="C569" s="105">
        <v>11</v>
      </c>
      <c r="D569" s="2" t="s">
        <v>432</v>
      </c>
      <c r="E569" s="105"/>
      <c r="F569" s="18"/>
      <c r="G569" s="18"/>
      <c r="H569" s="18">
        <v>3139</v>
      </c>
      <c r="I569" s="18"/>
      <c r="J569" s="18"/>
      <c r="K569" s="18"/>
      <c r="L569" s="88">
        <f>SUM(F569:K569)</f>
        <v>3139</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9505</v>
      </c>
      <c r="I570" s="193">
        <f t="shared" si="46"/>
        <v>0</v>
      </c>
      <c r="J570" s="193">
        <f t="shared" si="46"/>
        <v>0</v>
      </c>
      <c r="K570" s="193">
        <f t="shared" si="46"/>
        <v>0</v>
      </c>
      <c r="L570" s="193">
        <f t="shared" si="46"/>
        <v>9505</v>
      </c>
      <c r="M570" s="8"/>
      <c r="N570" s="266"/>
    </row>
    <row r="571" spans="1:14" s="3" customFormat="1" ht="12.2" customHeight="1" thickTop="1" x14ac:dyDescent="0.15">
      <c r="A571" s="98" t="s">
        <v>88</v>
      </c>
      <c r="B571" s="107">
        <v>22</v>
      </c>
      <c r="C571" s="107">
        <v>13</v>
      </c>
      <c r="D571" s="158" t="s">
        <v>432</v>
      </c>
      <c r="E571" s="107"/>
      <c r="F571" s="89">
        <f>F560+F565+F570</f>
        <v>9732</v>
      </c>
      <c r="G571" s="89">
        <f t="shared" ref="G571:L571" si="47">G560+G565+G570</f>
        <v>797</v>
      </c>
      <c r="H571" s="89">
        <f t="shared" si="47"/>
        <v>31376</v>
      </c>
      <c r="I571" s="89">
        <f t="shared" si="47"/>
        <v>415</v>
      </c>
      <c r="J571" s="89">
        <f t="shared" si="47"/>
        <v>0</v>
      </c>
      <c r="K571" s="89">
        <f t="shared" si="47"/>
        <v>0</v>
      </c>
      <c r="L571" s="89">
        <f t="shared" si="47"/>
        <v>42320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6458</v>
      </c>
      <c r="I575" s="87">
        <f>SUM(F575:H575)</f>
        <v>6458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v>71030</v>
      </c>
      <c r="H579" s="18">
        <v>20097</v>
      </c>
      <c r="I579" s="87">
        <f t="shared" si="48"/>
        <v>91127</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319441+13001</f>
        <v>332442</v>
      </c>
      <c r="G582" s="18">
        <v>117300</v>
      </c>
      <c r="H582" s="18">
        <v>607535</v>
      </c>
      <c r="I582" s="87">
        <f t="shared" si="48"/>
        <v>1057277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9205</v>
      </c>
      <c r="I584" s="87">
        <f t="shared" si="48"/>
        <v>9205</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255707+485+37+3+4075-3</f>
        <v>260304</v>
      </c>
      <c r="I591" s="18">
        <f>110158+3</f>
        <v>110161</v>
      </c>
      <c r="J591" s="18">
        <v>180440</v>
      </c>
      <c r="K591" s="104">
        <f t="shared" ref="K591:K597" si="49">SUM(H591:J591)</f>
        <v>550905</v>
      </c>
      <c r="L591" s="24" t="s">
        <v>288</v>
      </c>
      <c r="M591" s="8"/>
      <c r="N591" s="266"/>
    </row>
    <row r="592" spans="1:14" s="3" customFormat="1" ht="12.2" customHeight="1" x14ac:dyDescent="0.15">
      <c r="A592" s="3" t="s">
        <v>638</v>
      </c>
      <c r="B592" s="75">
        <v>23</v>
      </c>
      <c r="C592" s="75">
        <v>2</v>
      </c>
      <c r="D592" s="2" t="s">
        <v>432</v>
      </c>
      <c r="E592" s="75"/>
      <c r="F592" s="102">
        <v>2722</v>
      </c>
      <c r="G592" s="103" t="s">
        <v>97</v>
      </c>
      <c r="H592" s="18">
        <f>54603+64735-1</f>
        <v>119337</v>
      </c>
      <c r="I592" s="18">
        <f>23523+468-1</f>
        <v>23990</v>
      </c>
      <c r="J592" s="18">
        <f>38531+111841-1</f>
        <v>150371</v>
      </c>
      <c r="K592" s="104">
        <f t="shared" si="49"/>
        <v>293698</v>
      </c>
      <c r="L592" s="24" t="s">
        <v>288</v>
      </c>
      <c r="M592" s="8"/>
      <c r="N592" s="266"/>
    </row>
    <row r="593" spans="1:14" s="3" customFormat="1" ht="12.2" customHeight="1" x14ac:dyDescent="0.15">
      <c r="A593" s="3" t="s">
        <v>639</v>
      </c>
      <c r="B593" s="75">
        <v>23</v>
      </c>
      <c r="C593" s="75">
        <v>3</v>
      </c>
      <c r="D593" s="2" t="s">
        <v>432</v>
      </c>
      <c r="E593" s="75"/>
      <c r="F593" s="102">
        <v>2723</v>
      </c>
      <c r="G593" s="103" t="s">
        <v>97</v>
      </c>
      <c r="H593" s="18">
        <v>1074</v>
      </c>
      <c r="I593" s="18">
        <v>463</v>
      </c>
      <c r="J593" s="18">
        <f>758+95+7+1+5545</f>
        <v>6406</v>
      </c>
      <c r="K593" s="104">
        <f t="shared" si="49"/>
        <v>7943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542</v>
      </c>
      <c r="I594" s="18">
        <f>233+2445+187+102+72</f>
        <v>3039</v>
      </c>
      <c r="J594" s="18">
        <f>382+12433+952+14+491</f>
        <v>14272</v>
      </c>
      <c r="K594" s="104">
        <f t="shared" si="49"/>
        <v>17853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3743+286+178+5700+1</f>
        <v>9908</v>
      </c>
      <c r="I595" s="18">
        <f>205+16+6</f>
        <v>227</v>
      </c>
      <c r="J595" s="18">
        <f>2241+171+109+3300+1</f>
        <v>5822</v>
      </c>
      <c r="K595" s="104">
        <f t="shared" si="49"/>
        <v>15957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73</v>
      </c>
      <c r="I597" s="18">
        <v>32</v>
      </c>
      <c r="J597" s="18">
        <v>52</v>
      </c>
      <c r="K597" s="104">
        <f t="shared" si="49"/>
        <v>157</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391238</v>
      </c>
      <c r="I598" s="108">
        <f>SUM(I591:I597)</f>
        <v>137912</v>
      </c>
      <c r="J598" s="108">
        <f>SUM(J591:J597)</f>
        <v>357363</v>
      </c>
      <c r="K598" s="108">
        <f>SUM(K591:K597)</f>
        <v>886513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41300+104847-85</f>
        <v>146062</v>
      </c>
      <c r="I604" s="18">
        <f>8608+45168-37</f>
        <v>53739</v>
      </c>
      <c r="J604" s="18">
        <f>45013+73986-62</f>
        <v>118937</v>
      </c>
      <c r="K604" s="104">
        <f>SUM(H604:J604)</f>
        <v>318738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146062</v>
      </c>
      <c r="I605" s="108">
        <f>SUM(I602:I604)</f>
        <v>53739</v>
      </c>
      <c r="J605" s="108">
        <f>SUM(J602:J604)</f>
        <v>118937</v>
      </c>
      <c r="K605" s="108">
        <f>SUM(K602:K604)</f>
        <v>318738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0</v>
      </c>
      <c r="G614" s="108">
        <f t="shared" si="50"/>
        <v>0</v>
      </c>
      <c r="H614" s="108">
        <f t="shared" si="50"/>
        <v>0</v>
      </c>
      <c r="I614" s="108">
        <f t="shared" si="50"/>
        <v>0</v>
      </c>
      <c r="J614" s="108">
        <f t="shared" si="50"/>
        <v>0</v>
      </c>
      <c r="K614" s="108">
        <f t="shared" si="50"/>
        <v>0</v>
      </c>
      <c r="L614" s="89">
        <f t="shared" si="50"/>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1538669</v>
      </c>
      <c r="H617" s="109">
        <f>SUM(F52)</f>
        <v>1538669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48159</v>
      </c>
      <c r="H618" s="109">
        <f>SUM(G52)</f>
        <v>48159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181413</v>
      </c>
      <c r="H619" s="109">
        <f>SUM(H52)</f>
        <v>181413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404826</v>
      </c>
      <c r="H621" s="109">
        <f>SUM(J52)</f>
        <v>404826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468389</v>
      </c>
      <c r="H622" s="109">
        <f>F476</f>
        <v>468389</v>
      </c>
      <c r="I622" s="121" t="s">
        <v>101</v>
      </c>
      <c r="J622" s="109">
        <f t="shared" ref="J622:J655" si="51">G622-H622</f>
        <v>0</v>
      </c>
      <c r="K622" s="109"/>
      <c r="L622" s="109"/>
      <c r="M622" s="8"/>
    </row>
    <row r="623" spans="1:14" s="3" customFormat="1" ht="12.2" customHeight="1" x14ac:dyDescent="0.15">
      <c r="A623" s="97"/>
      <c r="B623" s="105"/>
      <c r="C623" s="119"/>
      <c r="D623" s="119"/>
      <c r="E623" s="119"/>
      <c r="F623" s="119" t="s">
        <v>866</v>
      </c>
      <c r="G623" s="109">
        <f>G51</f>
        <v>26924</v>
      </c>
      <c r="H623" s="109">
        <f>G476</f>
        <v>26924</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37091</v>
      </c>
      <c r="H624" s="109">
        <f>H476</f>
        <v>37091</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404826</v>
      </c>
      <c r="H626" s="109">
        <f>J476</f>
        <v>404826</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16417827</v>
      </c>
      <c r="H627" s="104">
        <f>SUM(F468)</f>
        <v>16417827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403705</v>
      </c>
      <c r="H628" s="104">
        <f>SUM(G468)</f>
        <v>403705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1196507</v>
      </c>
      <c r="H629" s="104">
        <f>SUM(H468)</f>
        <v>1196507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16915262</v>
      </c>
      <c r="H632" s="104">
        <f>SUM(F472)</f>
        <v>16915262</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866991</v>
      </c>
      <c r="H633" s="104">
        <f>SUM(H472)</f>
        <v>866991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401521</v>
      </c>
      <c r="H635" s="104">
        <f>SUM(G472)</f>
        <v>401521</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404826</v>
      </c>
      <c r="H639" s="104">
        <f>SUM(F461)</f>
        <v>404826</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404826</v>
      </c>
      <c r="H642" s="104">
        <f>SUM(I461)</f>
        <v>404826</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886513</v>
      </c>
      <c r="H647" s="104">
        <f>L208+L226+L244</f>
        <v>886513</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318738</v>
      </c>
      <c r="H648" s="104">
        <f>(J257+J338)-(J255+J336)</f>
        <v>318738</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391238</v>
      </c>
      <c r="H649" s="104">
        <f>H598</f>
        <v>391238</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137912</v>
      </c>
      <c r="H650" s="104">
        <f>I598</f>
        <v>137912</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357363</v>
      </c>
      <c r="H651" s="104">
        <f>J598</f>
        <v>357363</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7297945</v>
      </c>
      <c r="G660" s="19">
        <f>(L229+L309+L359)</f>
        <v>3351311</v>
      </c>
      <c r="H660" s="19">
        <f>(L247+L328+L360)</f>
        <v>6723533</v>
      </c>
      <c r="I660" s="19">
        <f>SUM(F660:H660)</f>
        <v>17372789</v>
      </c>
      <c r="J660" s="13"/>
      <c r="K660" s="13"/>
      <c r="L660" s="13"/>
      <c r="M660" s="9"/>
    </row>
    <row r="661" spans="1:13" s="3" customFormat="1" ht="12.2" customHeight="1" x14ac:dyDescent="0.2">
      <c r="A661" s="1" t="s">
        <v>127</v>
      </c>
      <c r="F661" s="19">
        <f>(L358/IF(SUM(L358:L360)=0,1,SUM(L358:L360))*(SUM(G97:G110)))</f>
        <v>68977.167435825279</v>
      </c>
      <c r="G661" s="19">
        <f>(L359/IF(SUM(L358:L360)=0,1,SUM(L358:L360))*(SUM(G97:G110)))</f>
        <v>28676.791445528375</v>
      </c>
      <c r="H661" s="19">
        <f>(L360/IF(SUM(L358:L360)=0,1,SUM(L358:L360))*(SUM(G97:G110)))</f>
        <v>46973.041118646346</v>
      </c>
      <c r="I661" s="19">
        <f>SUM(F661:H661)</f>
        <v>144627</v>
      </c>
      <c r="J661"/>
      <c r="K661" s="13"/>
      <c r="L661" s="13"/>
      <c r="M661" s="9"/>
    </row>
    <row r="662" spans="1:13" s="3" customFormat="1" ht="12.2" customHeight="1" x14ac:dyDescent="0.2">
      <c r="A662" s="1" t="s">
        <v>128</v>
      </c>
      <c r="F662" s="19">
        <f>(L208+L287)-(J208+J287)</f>
        <v>359205</v>
      </c>
      <c r="G662" s="19">
        <f>(L226+L306)-(J226+J306)</f>
        <v>124112</v>
      </c>
      <c r="H662" s="19">
        <f>(L244+L325)-(J244+J325)</f>
        <v>334759</v>
      </c>
      <c r="I662" s="19">
        <f>SUM(F662:H662)</f>
        <v>818076</v>
      </c>
      <c r="J662"/>
      <c r="K662" s="13"/>
      <c r="L662" s="13"/>
      <c r="M662" s="8"/>
    </row>
    <row r="663" spans="1:13" s="3" customFormat="1" ht="12.2" customHeight="1" x14ac:dyDescent="0.15">
      <c r="A663" s="198" t="s">
        <v>129</v>
      </c>
      <c r="B663" s="169"/>
      <c r="C663" s="169"/>
      <c r="D663" s="169"/>
      <c r="E663" s="169"/>
      <c r="F663" s="199">
        <f>SUM(F575:F587)+SUM(H602:H604)+SUM(L611)</f>
        <v>478504</v>
      </c>
      <c r="G663" s="199">
        <f>SUM(G575:G587)+SUM(I602:I604)+L612</f>
        <v>242069</v>
      </c>
      <c r="H663" s="199">
        <f>SUM(H575:H587)+SUM(J602:J604)+L613</f>
        <v>762232</v>
      </c>
      <c r="I663" s="19">
        <f>SUM(F663:H663)</f>
        <v>1482805</v>
      </c>
      <c r="J663" s="13"/>
      <c r="K663" s="13"/>
      <c r="L663" s="13"/>
      <c r="M663" s="9"/>
    </row>
    <row r="664" spans="1:13" s="3" customFormat="1" ht="12.2" customHeight="1" x14ac:dyDescent="0.15">
      <c r="A664" s="1" t="s">
        <v>130</v>
      </c>
      <c r="F664" s="19">
        <f>F660-SUM(F661:F663)</f>
        <v>6391258.8325641751</v>
      </c>
      <c r="G664" s="19">
        <f>G660-SUM(G661:G663)</f>
        <v>2956453.2085544718</v>
      </c>
      <c r="H664" s="19">
        <f>H660-SUM(H661:H663)</f>
        <v>5579568.958881354</v>
      </c>
      <c r="I664" s="19">
        <f>I660-SUM(I661:I663)</f>
        <v>14927281</v>
      </c>
      <c r="J664" s="13"/>
      <c r="K664" s="13"/>
      <c r="L664" s="13"/>
      <c r="M664" s="9"/>
    </row>
    <row r="665" spans="1:13" s="3" customFormat="1" ht="12.2" customHeight="1" x14ac:dyDescent="0.2">
      <c r="A665" s="1" t="s">
        <v>131</v>
      </c>
      <c r="F665" s="246">
        <v>417.44</v>
      </c>
      <c r="G665" s="247">
        <v>198.52</v>
      </c>
      <c r="H665" s="247">
        <v>314.60000000000002</v>
      </c>
      <c r="I665" s="19">
        <f>SUM(F665:H665)</f>
        <v>930.56000000000006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15310.6</v>
      </c>
      <c r="G667" s="19">
        <f>ROUND(G664/G665,2)</f>
        <v>14892.47</v>
      </c>
      <c r="H667" s="19">
        <f>ROUND(H664/H665,2)</f>
        <v>17735.439999999999</v>
      </c>
      <c r="I667" s="19">
        <f>ROUND(I664/I665,2)</f>
        <v>16041.18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5.45</v>
      </c>
      <c r="I670" s="19">
        <f>SUM(F670:H670)</f>
        <v>5.45</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15310.6</v>
      </c>
      <c r="G672" s="19">
        <f>ROUND((G664+G669)/(G665+G670),2)</f>
        <v>14892.47</v>
      </c>
      <c r="H672" s="19">
        <f>ROUND((H664+H669)/(H665+H670),2)</f>
        <v>17433.43</v>
      </c>
      <c r="I672" s="19">
        <f>ROUND((I664+I669)/(I665+I670),2)</f>
        <v>15947.78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2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NEWPORT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3275824</v>
      </c>
      <c r="C9" s="229">
        <f>'DOE25'!G197+'DOE25'!G215+'DOE25'!G233+'DOE25'!G276+'DOE25'!G295+'DOE25'!G314</f>
        <v>1979087</v>
      </c>
    </row>
    <row r="10" spans="1:3" x14ac:dyDescent="0.2">
      <c r="A10" t="s">
        <v>775</v>
      </c>
      <c r="B10" s="240">
        <v>2907907</v>
      </c>
      <c r="C10" s="240">
        <v>1950941</v>
      </c>
    </row>
    <row r="11" spans="1:3" x14ac:dyDescent="0.2">
      <c r="A11" t="s">
        <v>776</v>
      </c>
      <c r="B11" s="240">
        <v>155458</v>
      </c>
      <c r="C11" s="240">
        <v>11893</v>
      </c>
    </row>
    <row r="12" spans="1:3" x14ac:dyDescent="0.2">
      <c r="A12" t="s">
        <v>777</v>
      </c>
      <c r="B12" s="240">
        <v>212459</v>
      </c>
      <c r="C12" s="240">
        <v>16253</v>
      </c>
    </row>
    <row r="13" spans="1:3" x14ac:dyDescent="0.2">
      <c r="A13" t="str">
        <f>IF(B9=B13,IF(C9=C13,"Check Total OK","Check Total Error"),"Check Total Error")</f>
        <v>Check Total OK</v>
      </c>
      <c r="B13" s="231">
        <f>SUM(B10:B12)</f>
        <v>3275824</v>
      </c>
      <c r="C13" s="231">
        <f>SUM(C10:C12)</f>
        <v>1979087</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1352986</v>
      </c>
      <c r="C18" s="229">
        <f>'DOE25'!G198+'DOE25'!G216+'DOE25'!G234+'DOE25'!G277+'DOE25'!G296+'DOE25'!G315</f>
        <v>666385</v>
      </c>
    </row>
    <row r="19" spans="1:3" x14ac:dyDescent="0.2">
      <c r="A19" t="s">
        <v>775</v>
      </c>
      <c r="B19" s="240">
        <v>570835</v>
      </c>
      <c r="C19" s="240">
        <v>553363</v>
      </c>
    </row>
    <row r="20" spans="1:3" x14ac:dyDescent="0.2">
      <c r="A20" t="s">
        <v>776</v>
      </c>
      <c r="B20" s="240">
        <v>776321</v>
      </c>
      <c r="C20" s="240">
        <f>113022-446</f>
        <v>112576</v>
      </c>
    </row>
    <row r="21" spans="1:3" x14ac:dyDescent="0.2">
      <c r="A21" t="s">
        <v>777</v>
      </c>
      <c r="B21" s="240">
        <v>5830</v>
      </c>
      <c r="C21" s="240">
        <v>446</v>
      </c>
    </row>
    <row r="22" spans="1:3" x14ac:dyDescent="0.2">
      <c r="A22" t="str">
        <f>IF(B18=B22,IF(C18=C22,"Check Total OK","Check Total Error"),"Check Total Error")</f>
        <v>Check Total OK</v>
      </c>
      <c r="B22" s="231">
        <f>SUM(B19:B21)</f>
        <v>1352986</v>
      </c>
      <c r="C22" s="231">
        <f>SUM(C19:C21)</f>
        <v>666385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350236</v>
      </c>
      <c r="C27" s="234">
        <f>'DOE25'!G199+'DOE25'!G217+'DOE25'!G235+'DOE25'!G278+'DOE25'!G297+'DOE25'!G316</f>
        <v>266600</v>
      </c>
    </row>
    <row r="28" spans="1:3" x14ac:dyDescent="0.2">
      <c r="A28" t="s">
        <v>775</v>
      </c>
      <c r="B28" s="240">
        <v>350236</v>
      </c>
      <c r="C28" s="240">
        <v>266600</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350236</v>
      </c>
      <c r="C31" s="231">
        <f>SUM(C28:C30)</f>
        <v>266600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170230</v>
      </c>
      <c r="C36" s="235">
        <f>'DOE25'!G200+'DOE25'!G218+'DOE25'!G236+'DOE25'!G279+'DOE25'!G298+'DOE25'!G317</f>
        <v>47924</v>
      </c>
    </row>
    <row r="37" spans="1:3" x14ac:dyDescent="0.2">
      <c r="A37" t="s">
        <v>775</v>
      </c>
      <c r="B37" s="240">
        <v>77277</v>
      </c>
      <c r="C37" s="240">
        <f>47924-7111</f>
        <v>40813</v>
      </c>
    </row>
    <row r="38" spans="1:3" x14ac:dyDescent="0.2">
      <c r="A38" t="s">
        <v>776</v>
      </c>
      <c r="B38" s="240">
        <v>92953</v>
      </c>
      <c r="C38" s="240">
        <v>7111</v>
      </c>
    </row>
    <row r="39" spans="1:3" x14ac:dyDescent="0.2">
      <c r="A39" t="s">
        <v>777</v>
      </c>
      <c r="B39" s="240"/>
      <c r="C39" s="240"/>
    </row>
    <row r="40" spans="1:3" x14ac:dyDescent="0.2">
      <c r="A40" t="str">
        <f>IF(B36=B40,IF(C36=C40,"Check Total OK","Check Total Error"),"Check Total Error")</f>
        <v>Check Total OK</v>
      </c>
      <c r="B40" s="231">
        <f>SUM(B37:B39)</f>
        <v>170230</v>
      </c>
      <c r="C40" s="231">
        <f>SUM(C37:C39)</f>
        <v>47924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abSelected="1" zoomScale="130" zoomScaleNormal="130" workbookViewId="0">
      <pane ySplit="4" topLeftCell="A14"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NEWPORT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9443049</v>
      </c>
      <c r="D5" s="20">
        <f>SUM('DOE25'!L197:L200)+SUM('DOE25'!L215:L218)+SUM('DOE25'!L233:L236)-F5-G5-H5</f>
        <v>9382233</v>
      </c>
      <c r="E5" s="243"/>
      <c r="F5" s="244">
        <v>0</v>
      </c>
      <c r="G5" s="53">
        <f>SUM('DOE25'!J197:J200)+SUM('DOE25'!J215:J218)+SUM('DOE25'!J233:J236)</f>
        <v>43738</v>
      </c>
      <c r="H5" s="53">
        <f>SUM('DOE25'!K197:K200)+SUM('DOE25'!K215:K218)+SUM('DOE25'!K233:K236)</f>
        <v>17078</v>
      </c>
      <c r="I5" s="256"/>
    </row>
    <row r="6" spans="1:9" x14ac:dyDescent="0.2">
      <c r="A6" s="32">
        <v>2100</v>
      </c>
      <c r="B6" t="s">
        <v>796</v>
      </c>
      <c r="C6" s="276">
        <f t="shared" si="0"/>
        <v>1572929</v>
      </c>
      <c r="D6" s="20">
        <f>'DOE25'!L202+'DOE25'!L220+'DOE25'!L238-F6-G6-H6</f>
        <v>1503291.01</v>
      </c>
      <c r="E6" s="243"/>
      <c r="F6" s="244">
        <v>69287.990000000005</v>
      </c>
      <c r="G6" s="53">
        <f>'DOE25'!J202+'DOE25'!J220+'DOE25'!J238</f>
        <v>0</v>
      </c>
      <c r="H6" s="53">
        <f>'DOE25'!K202+'DOE25'!K220+'DOE25'!K238</f>
        <v>350</v>
      </c>
      <c r="I6" s="256"/>
    </row>
    <row r="7" spans="1:9" x14ac:dyDescent="0.2">
      <c r="A7" s="32">
        <v>2200</v>
      </c>
      <c r="B7" t="s">
        <v>821</v>
      </c>
      <c r="C7" s="276">
        <f t="shared" si="0"/>
        <v>801699</v>
      </c>
      <c r="D7" s="20">
        <f>'DOE25'!L203+'DOE25'!L221+'DOE25'!L239-F7-G7-H7</f>
        <v>619239.64</v>
      </c>
      <c r="E7" s="243"/>
      <c r="F7" s="244">
        <v>80067.360000000001</v>
      </c>
      <c r="G7" s="53">
        <f>'DOE25'!J203+'DOE25'!J221+'DOE25'!J239</f>
        <v>101842</v>
      </c>
      <c r="H7" s="53">
        <f>'DOE25'!K203+'DOE25'!K221+'DOE25'!K239</f>
        <v>550</v>
      </c>
      <c r="I7" s="256"/>
    </row>
    <row r="8" spans="1:9" x14ac:dyDescent="0.2">
      <c r="A8" s="32">
        <v>2300</v>
      </c>
      <c r="B8" t="s">
        <v>797</v>
      </c>
      <c r="C8" s="276">
        <f t="shared" si="0"/>
        <v>439201</v>
      </c>
      <c r="D8" s="243"/>
      <c r="E8" s="20">
        <f>'DOE25'!L204+'DOE25'!L222+'DOE25'!L240-F8-G8-H8-D9-D11</f>
        <v>426311</v>
      </c>
      <c r="F8" s="244">
        <v>0</v>
      </c>
      <c r="G8" s="53">
        <f>'DOE25'!J204+'DOE25'!J222+'DOE25'!J240</f>
        <v>1687</v>
      </c>
      <c r="H8" s="53">
        <f>'DOE25'!K204+'DOE25'!K222+'DOE25'!K240</f>
        <v>11203</v>
      </c>
      <c r="I8" s="256"/>
    </row>
    <row r="9" spans="1:9" ht="14.25" x14ac:dyDescent="0.2">
      <c r="A9" s="32">
        <v>2310</v>
      </c>
      <c r="B9" s="185" t="s">
        <v>890</v>
      </c>
      <c r="C9" s="276">
        <f t="shared" si="0"/>
        <v>108028</v>
      </c>
      <c r="D9" s="244">
        <v>108028</v>
      </c>
      <c r="E9" s="243"/>
      <c r="F9" s="253"/>
      <c r="G9" s="253"/>
      <c r="H9" s="253"/>
      <c r="I9" s="256"/>
    </row>
    <row r="10" spans="1:9" ht="14.25" x14ac:dyDescent="0.2">
      <c r="A10" s="32">
        <v>2317</v>
      </c>
      <c r="B10" s="185" t="s">
        <v>891</v>
      </c>
      <c r="C10" s="276">
        <f t="shared" si="0"/>
        <v>15000</v>
      </c>
      <c r="D10" s="243"/>
      <c r="E10" s="244">
        <v>15000</v>
      </c>
      <c r="F10" s="253"/>
      <c r="G10" s="253"/>
      <c r="H10" s="253"/>
      <c r="I10" s="256"/>
    </row>
    <row r="11" spans="1:9" ht="14.25" x14ac:dyDescent="0.2">
      <c r="A11" s="32">
        <v>2321</v>
      </c>
      <c r="B11" s="185" t="s">
        <v>892</v>
      </c>
      <c r="C11" s="276">
        <f t="shared" si="0"/>
        <v>232041</v>
      </c>
      <c r="D11" s="244">
        <v>232041</v>
      </c>
      <c r="E11" s="243"/>
      <c r="F11" s="253"/>
      <c r="G11" s="253"/>
      <c r="H11" s="253"/>
      <c r="I11" s="256"/>
    </row>
    <row r="12" spans="1:9" x14ac:dyDescent="0.2">
      <c r="A12" s="32">
        <v>2400</v>
      </c>
      <c r="B12" t="s">
        <v>711</v>
      </c>
      <c r="C12" s="276">
        <f t="shared" si="0"/>
        <v>827125</v>
      </c>
      <c r="D12" s="20">
        <f>'DOE25'!L205+'DOE25'!L223+'DOE25'!L241-F12-G12-H12</f>
        <v>820158</v>
      </c>
      <c r="E12" s="243"/>
      <c r="F12" s="244">
        <v>0</v>
      </c>
      <c r="G12" s="53">
        <f>'DOE25'!J205+'DOE25'!J223+'DOE25'!J241</f>
        <v>175</v>
      </c>
      <c r="H12" s="53">
        <f>'DOE25'!K205+'DOE25'!K223+'DOE25'!K241</f>
        <v>6792</v>
      </c>
      <c r="I12" s="256"/>
    </row>
    <row r="13" spans="1:9" x14ac:dyDescent="0.2">
      <c r="A13" s="32">
        <v>2500</v>
      </c>
      <c r="B13" t="s">
        <v>798</v>
      </c>
      <c r="C13" s="276">
        <f t="shared" si="0"/>
        <v>439437</v>
      </c>
      <c r="D13" s="243"/>
      <c r="E13" s="20">
        <f>'DOE25'!L206+'DOE25'!L224+'DOE25'!L242-F13-G13-H13</f>
        <v>436072</v>
      </c>
      <c r="F13" s="244">
        <v>0</v>
      </c>
      <c r="G13" s="53">
        <f>'DOE25'!J206+'DOE25'!J224+'DOE25'!J242</f>
        <v>820</v>
      </c>
      <c r="H13" s="53">
        <f>'DOE25'!K206+'DOE25'!K224+'DOE25'!K242</f>
        <v>2545</v>
      </c>
      <c r="I13" s="256"/>
    </row>
    <row r="14" spans="1:9" x14ac:dyDescent="0.2">
      <c r="A14" s="32">
        <v>2600</v>
      </c>
      <c r="B14" t="s">
        <v>819</v>
      </c>
      <c r="C14" s="276">
        <f t="shared" si="0"/>
        <v>1425090</v>
      </c>
      <c r="D14" s="20">
        <f>'DOE25'!L207+'DOE25'!L225+'DOE25'!L243-F14-G14-H14</f>
        <v>1337469</v>
      </c>
      <c r="E14" s="243"/>
      <c r="F14" s="244">
        <v>65162</v>
      </c>
      <c r="G14" s="53">
        <f>'DOE25'!J207+'DOE25'!J225+'DOE25'!J243</f>
        <v>22459</v>
      </c>
      <c r="H14" s="53">
        <f>'DOE25'!K207+'DOE25'!K225+'DOE25'!K243</f>
        <v>0</v>
      </c>
      <c r="I14" s="256"/>
    </row>
    <row r="15" spans="1:9" x14ac:dyDescent="0.2">
      <c r="A15" s="32">
        <v>2700</v>
      </c>
      <c r="B15" t="s">
        <v>799</v>
      </c>
      <c r="C15" s="276">
        <f t="shared" si="0"/>
        <v>886513</v>
      </c>
      <c r="D15" s="20">
        <f>'DOE25'!L208+'DOE25'!L226+'DOE25'!L244-F15-G15-H15</f>
        <v>611738.31000000006</v>
      </c>
      <c r="E15" s="243"/>
      <c r="F15" s="244">
        <v>190546.69</v>
      </c>
      <c r="G15" s="53">
        <f>'DOE25'!J208+'DOE25'!J226+'DOE25'!J244</f>
        <v>83121</v>
      </c>
      <c r="H15" s="53">
        <f>'DOE25'!K208+'DOE25'!K226+'DOE25'!K244</f>
        <v>1107</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740150</v>
      </c>
      <c r="D25" s="243"/>
      <c r="E25" s="243"/>
      <c r="F25" s="255"/>
      <c r="G25" s="253"/>
      <c r="H25" s="253"/>
      <c r="I25" s="254">
        <f>'DOE25'!L260+'DOE25'!L261+'DOE25'!L341+'DOE25'!L342</f>
        <v>740150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401521</v>
      </c>
      <c r="D29" s="284">
        <f>'DOE25'!L358+'DOE25'!L359+'DOE25'!L360-'DOE25'!I367-F29-G29-H29</f>
        <v>172961.79</v>
      </c>
      <c r="E29" s="243"/>
      <c r="F29" s="244">
        <v>228329.21</v>
      </c>
      <c r="G29" s="53">
        <f>'DOE25'!J358+'DOE25'!J359+'DOE25'!J360</f>
        <v>180</v>
      </c>
      <c r="H29" s="53">
        <f>'DOE25'!K358+'DOE25'!K359+'DOE25'!K360</f>
        <v>50</v>
      </c>
      <c r="I29" s="256"/>
    </row>
    <row r="30" spans="1:9" x14ac:dyDescent="0.2">
      <c r="A30" s="32"/>
      <c r="C30" s="277"/>
      <c r="D30" s="20"/>
      <c r="E30" s="281"/>
      <c r="F30" s="271"/>
      <c r="G30" s="53"/>
      <c r="H30" s="53"/>
      <c r="I30" s="256"/>
    </row>
    <row r="31" spans="1:9" x14ac:dyDescent="0.2">
      <c r="A31" s="32" t="s">
        <v>818</v>
      </c>
      <c r="B31" t="s">
        <v>817</v>
      </c>
      <c r="C31" s="276">
        <f>SUM(D31:I31)</f>
        <v>866991</v>
      </c>
      <c r="D31" s="20">
        <f>'DOE25'!L290+'DOE25'!L309+'DOE25'!L328+'DOE25'!L333+'DOE25'!L334+'DOE25'!L335-F31-G31-H31</f>
        <v>790980</v>
      </c>
      <c r="E31" s="243"/>
      <c r="F31" s="244">
        <v>0</v>
      </c>
      <c r="G31" s="53">
        <f>'DOE25'!J290+'DOE25'!J309+'DOE25'!J328+'DOE25'!J333+'DOE25'!J334+'DOE25'!J335</f>
        <v>64896</v>
      </c>
      <c r="H31" s="53">
        <f>'DOE25'!K290+'DOE25'!K309+'DOE25'!K328+'DOE25'!K333+'DOE25'!K334+'DOE25'!K335</f>
        <v>11115</v>
      </c>
      <c r="I31" s="256"/>
    </row>
    <row r="32" spans="1:9" ht="12" thickBot="1" x14ac:dyDescent="0.25">
      <c r="C32" s="277"/>
      <c r="G32" s="251"/>
      <c r="H32" s="251"/>
      <c r="I32" s="258"/>
    </row>
    <row r="33" spans="1:9" ht="12" thickTop="1" x14ac:dyDescent="0.2">
      <c r="B33" t="s">
        <v>809</v>
      </c>
      <c r="D33" s="245">
        <f t="shared" ref="D33:I33" si="1">SUM(D5:D31)</f>
        <v>15578139.75</v>
      </c>
      <c r="E33" s="245">
        <f t="shared" si="1"/>
        <v>877383</v>
      </c>
      <c r="F33" s="245">
        <f t="shared" si="1"/>
        <v>633393.25</v>
      </c>
      <c r="G33" s="245">
        <f t="shared" si="1"/>
        <v>318918</v>
      </c>
      <c r="H33" s="245">
        <f t="shared" si="1"/>
        <v>50790</v>
      </c>
      <c r="I33" s="245">
        <f t="shared" si="1"/>
        <v>740150</v>
      </c>
    </row>
    <row r="35" spans="1:9" ht="12" thickBot="1" x14ac:dyDescent="0.25">
      <c r="B35" s="251" t="s">
        <v>831</v>
      </c>
      <c r="D35" s="252">
        <f>E33</f>
        <v>877383</v>
      </c>
      <c r="E35" s="248"/>
    </row>
    <row r="36" spans="1:9" ht="12" thickTop="1" x14ac:dyDescent="0.2">
      <c r="B36" t="s">
        <v>810</v>
      </c>
      <c r="D36" s="20">
        <f>D33</f>
        <v>15578139.75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3"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NEWPORT SCHOOL DISTRICT</v>
      </c>
      <c r="B2" s="126">
        <f>'DOE25'!B2</f>
        <v>401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7106447</v>
      </c>
      <c r="G4" s="303">
        <f>'DOE25'!L211+'DOE25'!L290</f>
        <v>7106447</v>
      </c>
      <c r="H4" s="304">
        <f>F4-G4</f>
        <v>0</v>
      </c>
      <c r="I4" s="310" t="str">
        <f>IF(H4=0,"","Does not match DOE25 page 7 and 11 Totals!!")</f>
        <v/>
      </c>
      <c r="N4"/>
    </row>
    <row r="5" spans="1:18" x14ac:dyDescent="0.2">
      <c r="A5" s="21" t="s">
        <v>1349</v>
      </c>
      <c r="B5" s="305">
        <f>IFERROR(VLOOKUP(A5,'School Tables'!$C$3:$D$368,2,FALSE),"")</f>
        <v>21995</v>
      </c>
      <c r="C5" s="297" t="str">
        <f>IFERROR(INDEX('School Tables'!$B$3:$B$368,MATCH('School Level Expenditures'!B5,'School Tables'!$D$3:$D$368,0)),"")</f>
        <v>Newport</v>
      </c>
      <c r="D5" s="294">
        <f>5187242+1515743</f>
        <v>6702985</v>
      </c>
      <c r="E5" s="294">
        <v>403462</v>
      </c>
      <c r="F5" s="313">
        <f>D5+E5</f>
        <v>7106447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3271697</v>
      </c>
      <c r="G24" s="303">
        <f>'DOE25'!L229+'DOE25'!L309</f>
        <v>3271697</v>
      </c>
      <c r="H24" s="304">
        <f>F24-G24</f>
        <v>0</v>
      </c>
      <c r="I24" s="310" t="str">
        <f>IF(H24=0,"","Does not match DOE25 page 8 and 12 Totals!!")</f>
        <v/>
      </c>
      <c r="N24"/>
    </row>
    <row r="25" spans="1:14" x14ac:dyDescent="0.2">
      <c r="A25" s="21" t="s">
        <v>1347</v>
      </c>
      <c r="B25" s="305">
        <f>IFERROR(VLOOKUP(A25,'School Tables'!$I$3:$J$80,2,FALSE),"")</f>
        <v>26970</v>
      </c>
      <c r="C25" s="297" t="str">
        <f t="array" ref="C25">IFERROR(INDEX('School Tables'!$H$3:$H$80,MATCH('School Level Expenditures'!B25,'School Tables'!$J$3:$J$80,0)),"")</f>
        <v>Newport</v>
      </c>
      <c r="D25" s="294">
        <f>2444990+652896</f>
        <v>3097886</v>
      </c>
      <c r="E25" s="294">
        <v>173811</v>
      </c>
      <c r="F25" s="308">
        <f>D25+E25</f>
        <v>3271697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6593124</v>
      </c>
      <c r="G36" s="303">
        <f>'DOE25'!L247+'DOE25'!L328</f>
        <v>6593124</v>
      </c>
      <c r="H36" s="304">
        <f>F36-G36</f>
        <v>0</v>
      </c>
      <c r="I36" s="310" t="str">
        <f>IF(H36=0,"","Does not match DOE25 page 9 and 13 Totals!!")</f>
        <v/>
      </c>
      <c r="N36"/>
    </row>
    <row r="37" spans="1:14" x14ac:dyDescent="0.2">
      <c r="A37" s="21" t="s">
        <v>1348</v>
      </c>
      <c r="B37" s="305">
        <f>IFERROR(VLOOKUP(A37,'School Tables'!$O$3:$P$122,2,FALSE),"")</f>
        <v>21985</v>
      </c>
      <c r="C37" s="297" t="str">
        <f t="array" ref="C37">IFERROR(INDEX('School Tables'!$N$3:$N$122,MATCH('School Level Expenditures'!B37,'School Tables'!$P$3:$P$122,0)),"")</f>
        <v>Newport</v>
      </c>
      <c r="D37" s="294">
        <v>5731146</v>
      </c>
      <c r="E37" s="294">
        <v>861978</v>
      </c>
      <c r="F37" s="308">
        <f>D37+E37</f>
        <v>6593124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NEWPORT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1294694</v>
      </c>
      <c r="D8" s="95">
        <f>'DOE25'!G9</f>
        <v>200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131459</v>
      </c>
      <c r="D11" s="95">
        <f>'DOE25'!G12</f>
        <v>12862</v>
      </c>
      <c r="E11" s="95">
        <f>'DOE25'!H12</f>
        <v>0</v>
      </c>
      <c r="F11" s="95">
        <f>'DOE25'!I12</f>
        <v>0</v>
      </c>
      <c r="G11" s="95">
        <f>'DOE25'!J12</f>
        <v>0</v>
      </c>
      <c r="H11" s="124"/>
      <c r="I11" s="124"/>
    </row>
    <row r="12" spans="1:9" x14ac:dyDescent="0.2">
      <c r="A12" s="1" t="s">
        <v>143</v>
      </c>
      <c r="B12" s="6">
        <v>140</v>
      </c>
      <c r="C12" s="95">
        <f>'DOE25'!F13</f>
        <v>110388</v>
      </c>
      <c r="D12" s="95">
        <f>'DOE25'!G13</f>
        <v>10357</v>
      </c>
      <c r="E12" s="95">
        <f>'DOE25'!H13</f>
        <v>181413</v>
      </c>
      <c r="F12" s="95">
        <f>'DOE25'!I13</f>
        <v>0</v>
      </c>
      <c r="G12" s="95">
        <f>'DOE25'!J13</f>
        <v>404826</v>
      </c>
      <c r="H12" s="124"/>
      <c r="I12" s="124"/>
    </row>
    <row r="13" spans="1:9" x14ac:dyDescent="0.2">
      <c r="A13" s="1" t="s">
        <v>144</v>
      </c>
      <c r="B13" s="6">
        <v>150</v>
      </c>
      <c r="C13" s="95">
        <f>'DOE25'!F14</f>
        <v>28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24740</v>
      </c>
      <c r="E15" s="95">
        <f>'DOE25'!H16</f>
        <v>0</v>
      </c>
      <c r="F15" s="95">
        <f>'DOE25'!I16</f>
        <v>0</v>
      </c>
      <c r="G15" s="24" t="s">
        <v>288</v>
      </c>
      <c r="H15" s="124"/>
      <c r="I15" s="124"/>
    </row>
    <row r="16" spans="1:9" x14ac:dyDescent="0.2">
      <c r="A16" s="1" t="s">
        <v>147</v>
      </c>
      <c r="B16" s="6">
        <v>180</v>
      </c>
      <c r="C16" s="95">
        <f>'DOE25'!F17</f>
        <v>2100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1538669</v>
      </c>
      <c r="D18" s="41">
        <f>SUM(D8:D17)</f>
        <v>48159</v>
      </c>
      <c r="E18" s="41">
        <f>SUM(E8:E17)</f>
        <v>181413</v>
      </c>
      <c r="F18" s="41">
        <f>SUM(F8:F17)</f>
        <v>0</v>
      </c>
      <c r="G18" s="41">
        <f>SUM(G8:G17)</f>
        <v>404826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144322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1057165</v>
      </c>
      <c r="D23" s="95">
        <f>'DOE25'!G24</f>
        <v>2391</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13115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14807</v>
      </c>
      <c r="E29" s="95">
        <f>'DOE25'!H30</f>
        <v>0</v>
      </c>
      <c r="F29" s="95">
        <f>'DOE25'!I30</f>
        <v>0</v>
      </c>
      <c r="G29" s="24" t="s">
        <v>288</v>
      </c>
      <c r="H29" s="124"/>
      <c r="I29" s="124"/>
    </row>
    <row r="30" spans="1:9" ht="12" thickBot="1" x14ac:dyDescent="0.25">
      <c r="A30" s="1" t="s">
        <v>159</v>
      </c>
      <c r="B30" s="71">
        <v>490</v>
      </c>
      <c r="C30" s="95">
        <f>'DOE25'!F31</f>
        <v>0</v>
      </c>
      <c r="D30" s="95">
        <f>'DOE25'!G31</f>
        <v>4037</v>
      </c>
      <c r="E30" s="95">
        <f>'DOE25'!H31</f>
        <v>0</v>
      </c>
      <c r="F30" s="95">
        <f>'DOE25'!I31</f>
        <v>0</v>
      </c>
      <c r="G30" s="95">
        <f>'DOE25'!J31</f>
        <v>0</v>
      </c>
      <c r="H30" s="124"/>
      <c r="I30" s="124"/>
    </row>
    <row r="31" spans="1:9" ht="12" thickTop="1" x14ac:dyDescent="0.2">
      <c r="A31" s="38" t="s">
        <v>160</v>
      </c>
      <c r="B31" s="2"/>
      <c r="C31" s="41">
        <f>SUM(C21:C30)</f>
        <v>1070280</v>
      </c>
      <c r="D31" s="41">
        <f>SUM(D21:D30)</f>
        <v>21235</v>
      </c>
      <c r="E31" s="41">
        <f>SUM(E21:E30)</f>
        <v>144322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24740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2184</v>
      </c>
      <c r="E47" s="95">
        <f>'DOE25'!H48</f>
        <v>37091</v>
      </c>
      <c r="F47" s="95">
        <f>'DOE25'!I48</f>
        <v>0</v>
      </c>
      <c r="G47" s="95">
        <f>'DOE25'!J48</f>
        <v>404826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468389</v>
      </c>
      <c r="D49" s="24" t="s">
        <v>288</v>
      </c>
      <c r="E49" s="24" t="s">
        <v>288</v>
      </c>
      <c r="F49" s="24" t="s">
        <v>288</v>
      </c>
      <c r="G49" s="24" t="s">
        <v>288</v>
      </c>
      <c r="H49" s="124"/>
      <c r="I49" s="124"/>
    </row>
    <row r="50" spans="1:9" ht="12.75" thickTop="1" thickBot="1" x14ac:dyDescent="0.25">
      <c r="A50" s="38" t="s">
        <v>884</v>
      </c>
      <c r="B50" s="48"/>
      <c r="C50" s="41">
        <f>SUM(C34:C49)</f>
        <v>468389</v>
      </c>
      <c r="D50" s="41">
        <f>SUM(D34:D49)</f>
        <v>26924</v>
      </c>
      <c r="E50" s="41">
        <f>SUM(E34:E49)</f>
        <v>37091</v>
      </c>
      <c r="F50" s="41">
        <f>SUM(F34:F49)</f>
        <v>0</v>
      </c>
      <c r="G50" s="41">
        <f>SUM(G34:G49)</f>
        <v>404826</v>
      </c>
      <c r="H50" s="124"/>
      <c r="I50" s="124"/>
    </row>
    <row r="51" spans="1:9" ht="12" thickTop="1" x14ac:dyDescent="0.2">
      <c r="A51" s="38" t="s">
        <v>885</v>
      </c>
      <c r="B51" s="2"/>
      <c r="C51" s="41">
        <f>C50+C31</f>
        <v>1538669</v>
      </c>
      <c r="D51" s="41">
        <f>D50+D31</f>
        <v>48159</v>
      </c>
      <c r="E51" s="41">
        <f>E50+E31</f>
        <v>181413</v>
      </c>
      <c r="F51" s="41">
        <f>F50+F31</f>
        <v>0</v>
      </c>
      <c r="G51" s="41">
        <f>G50+G31</f>
        <v>404826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5899159</v>
      </c>
      <c r="D56" s="95">
        <f>'DOE25'!G60</f>
        <v>0</v>
      </c>
      <c r="E56" s="95">
        <f>'DOE25'!H60</f>
        <v>0</v>
      </c>
      <c r="F56" s="95">
        <f>'DOE25'!I60</f>
        <v>0</v>
      </c>
      <c r="G56" s="95">
        <f>'DOE25'!J60</f>
        <v>0</v>
      </c>
      <c r="H56"/>
      <c r="I56"/>
    </row>
    <row r="57" spans="1:9" x14ac:dyDescent="0.2">
      <c r="A57" s="1" t="s">
        <v>164</v>
      </c>
      <c r="B57" s="6" t="s">
        <v>165</v>
      </c>
      <c r="C57" s="95">
        <f>'DOE25'!F79</f>
        <v>1891915</v>
      </c>
      <c r="D57" s="24" t="s">
        <v>288</v>
      </c>
      <c r="E57" s="95">
        <f>'DOE25'!H79</f>
        <v>0</v>
      </c>
      <c r="F57" s="24" t="s">
        <v>288</v>
      </c>
      <c r="G57" s="24" t="s">
        <v>288</v>
      </c>
      <c r="H57"/>
      <c r="I57"/>
    </row>
    <row r="58" spans="1:9" x14ac:dyDescent="0.2">
      <c r="A58" s="1" t="s">
        <v>166</v>
      </c>
      <c r="B58" s="6" t="s">
        <v>167</v>
      </c>
      <c r="C58" s="95">
        <f>'DOE25'!F94</f>
        <v>23661</v>
      </c>
      <c r="D58" s="24" t="s">
        <v>288</v>
      </c>
      <c r="E58" s="95">
        <f>'DOE25'!H94</f>
        <v>0</v>
      </c>
      <c r="F58" s="24" t="s">
        <v>288</v>
      </c>
      <c r="G58" s="24" t="s">
        <v>288</v>
      </c>
      <c r="H58"/>
      <c r="I58"/>
    </row>
    <row r="59" spans="1:9" x14ac:dyDescent="0.2">
      <c r="A59" s="69" t="s">
        <v>168</v>
      </c>
      <c r="B59" s="37" t="s">
        <v>169</v>
      </c>
      <c r="C59" s="95">
        <f>'DOE25'!F96</f>
        <v>30203</v>
      </c>
      <c r="D59" s="95">
        <f>'DOE25'!G96</f>
        <v>0</v>
      </c>
      <c r="E59" s="95">
        <f>'DOE25'!H96</f>
        <v>0</v>
      </c>
      <c r="F59" s="95">
        <f>'DOE25'!I96</f>
        <v>0</v>
      </c>
      <c r="G59" s="95">
        <f>'DOE25'!J96</f>
        <v>0</v>
      </c>
      <c r="H59"/>
      <c r="I59"/>
    </row>
    <row r="60" spans="1:9" x14ac:dyDescent="0.2">
      <c r="A60" s="1" t="s">
        <v>170</v>
      </c>
      <c r="B60" s="118" t="s">
        <v>171</v>
      </c>
      <c r="C60" s="24" t="s">
        <v>288</v>
      </c>
      <c r="D60" s="95">
        <f>'DOE25'!G97</f>
        <v>144627</v>
      </c>
      <c r="E60" s="24" t="s">
        <v>288</v>
      </c>
      <c r="F60" s="24" t="s">
        <v>288</v>
      </c>
      <c r="G60" s="24" t="s">
        <v>288</v>
      </c>
      <c r="H60"/>
      <c r="I60"/>
    </row>
    <row r="61" spans="1:9" ht="12" thickBot="1" x14ac:dyDescent="0.25">
      <c r="A61" s="1" t="s">
        <v>172</v>
      </c>
      <c r="B61" s="118" t="s">
        <v>173</v>
      </c>
      <c r="C61" s="95">
        <f>SUM('DOE25'!F98:F110)</f>
        <v>226942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2172721</v>
      </c>
      <c r="D62" s="130">
        <f>SUM(D57:D61)</f>
        <v>144627</v>
      </c>
      <c r="E62" s="130">
        <f>SUM(E57:E61)</f>
        <v>0</v>
      </c>
      <c r="F62" s="130">
        <f>SUM(F57:F61)</f>
        <v>0</v>
      </c>
      <c r="G62" s="130">
        <f>SUM(G57:G61)</f>
        <v>0</v>
      </c>
      <c r="H62"/>
      <c r="I62"/>
    </row>
    <row r="63" spans="1:9" ht="12" thickTop="1" x14ac:dyDescent="0.2">
      <c r="A63" s="29" t="s">
        <v>175</v>
      </c>
      <c r="B63" s="6"/>
      <c r="C63" s="22">
        <f>C56+C62</f>
        <v>8071880</v>
      </c>
      <c r="D63" s="22">
        <f>D56+D62</f>
        <v>144627</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6510677</v>
      </c>
      <c r="D66" s="24" t="s">
        <v>288</v>
      </c>
      <c r="E66" s="24" t="s">
        <v>288</v>
      </c>
      <c r="F66" s="24" t="s">
        <v>288</v>
      </c>
      <c r="G66" s="24" t="s">
        <v>288</v>
      </c>
      <c r="H66"/>
      <c r="I66"/>
    </row>
    <row r="67" spans="1:9" x14ac:dyDescent="0.2">
      <c r="A67" s="1" t="s">
        <v>770</v>
      </c>
      <c r="B67" s="6">
        <v>3112</v>
      </c>
      <c r="C67" s="95">
        <f>'DOE25'!F118</f>
        <v>894585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-14619</v>
      </c>
      <c r="D69" s="95">
        <f>'DOE25'!G120</f>
        <v>0</v>
      </c>
      <c r="E69" s="95">
        <f>'DOE25'!H120</f>
        <v>0</v>
      </c>
      <c r="F69" s="95">
        <f>'DOE25'!I120</f>
        <v>0</v>
      </c>
      <c r="G69" s="95">
        <f>'DOE25'!J120</f>
        <v>0</v>
      </c>
      <c r="H69"/>
      <c r="I69"/>
    </row>
    <row r="70" spans="1:9" ht="12" thickTop="1" x14ac:dyDescent="0.2">
      <c r="A70" s="29" t="s">
        <v>252</v>
      </c>
      <c r="B70" s="2"/>
      <c r="C70" s="139">
        <f>SUM(C66:C69)</f>
        <v>7390643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339730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52879</v>
      </c>
      <c r="D74" s="24"/>
      <c r="E74" s="24"/>
      <c r="F74" s="24"/>
      <c r="G74" s="24"/>
      <c r="H74"/>
      <c r="I74"/>
    </row>
    <row r="75" spans="1:9" x14ac:dyDescent="0.2">
      <c r="A75" s="1" t="s">
        <v>256</v>
      </c>
      <c r="B75" s="6">
        <v>3230</v>
      </c>
      <c r="C75" s="95">
        <f>'DOE25'!F126</f>
        <v>196629</v>
      </c>
      <c r="D75" s="24" t="s">
        <v>288</v>
      </c>
      <c r="E75" s="24" t="s">
        <v>288</v>
      </c>
      <c r="F75" s="24" t="s">
        <v>288</v>
      </c>
      <c r="G75" s="24" t="s">
        <v>288</v>
      </c>
      <c r="H75"/>
      <c r="I75"/>
    </row>
    <row r="76" spans="1:9" x14ac:dyDescent="0.2">
      <c r="A76" s="1" t="s">
        <v>257</v>
      </c>
      <c r="B76" s="6" t="s">
        <v>179</v>
      </c>
      <c r="C76" s="95">
        <f>SUM('DOE25'!F127:F130)</f>
        <v>21891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5122</v>
      </c>
      <c r="E77" s="95">
        <f>SUM('DOE25'!H131:H135)</f>
        <v>0</v>
      </c>
      <c r="F77" s="95">
        <f>SUM('DOE25'!I131:I135)</f>
        <v>0</v>
      </c>
      <c r="G77" s="95">
        <f>SUM('DOE25'!J131:J135)</f>
        <v>0</v>
      </c>
      <c r="H77"/>
      <c r="I77"/>
    </row>
    <row r="78" spans="1:9" ht="12.75" thickTop="1" thickBot="1" x14ac:dyDescent="0.25">
      <c r="A78" s="29" t="s">
        <v>259</v>
      </c>
      <c r="B78" s="6"/>
      <c r="C78" s="130">
        <f>SUM(C72:C77)</f>
        <v>611129</v>
      </c>
      <c r="D78" s="130">
        <f>SUM(D72:D77)</f>
        <v>5122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8001772</v>
      </c>
      <c r="D81" s="130">
        <f>SUM(D79:D80)+D78+D70</f>
        <v>5122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344175</v>
      </c>
      <c r="D88" s="95">
        <f>SUM('DOE25'!G153:G161)</f>
        <v>253956</v>
      </c>
      <c r="E88" s="95">
        <f>SUM('DOE25'!H153:H161)</f>
        <v>1196507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344175</v>
      </c>
      <c r="D91" s="131">
        <f>SUM(D85:D90)</f>
        <v>253956</v>
      </c>
      <c r="E91" s="131">
        <f>SUM(E85:E90)</f>
        <v>1196507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16417827</v>
      </c>
      <c r="D104" s="86">
        <f>D63+D81+D91+D103</f>
        <v>403705</v>
      </c>
      <c r="E104" s="86">
        <f>E63+E81+E91+E103</f>
        <v>1196507</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5064471</v>
      </c>
      <c r="D109" s="24" t="s">
        <v>288</v>
      </c>
      <c r="E109" s="95">
        <f>('DOE25'!L276)+('DOE25'!L295)+('DOE25'!L314)</f>
        <v>435404</v>
      </c>
      <c r="F109" s="24" t="s">
        <v>288</v>
      </c>
      <c r="G109" s="24" t="s">
        <v>288</v>
      </c>
    </row>
    <row r="110" spans="1:7" x14ac:dyDescent="0.2">
      <c r="A110" t="s">
        <v>198</v>
      </c>
      <c r="B110" s="32" t="s">
        <v>199</v>
      </c>
      <c r="C110" s="95">
        <f>('DOE25'!L198)+('DOE25'!L216)+('DOE25'!L234)</f>
        <v>3433362</v>
      </c>
      <c r="D110" s="24" t="s">
        <v>288</v>
      </c>
      <c r="E110" s="95">
        <f>('DOE25'!L277)+('DOE25'!L296)+('DOE25'!L315)</f>
        <v>187532</v>
      </c>
      <c r="F110" s="24" t="s">
        <v>288</v>
      </c>
      <c r="G110" s="24" t="s">
        <v>288</v>
      </c>
    </row>
    <row r="111" spans="1:7" x14ac:dyDescent="0.2">
      <c r="A111" t="s">
        <v>200</v>
      </c>
      <c r="B111" s="32" t="s">
        <v>165</v>
      </c>
      <c r="C111" s="95">
        <f>('DOE25'!L199)+('DOE25'!L217)+('DOE25'!L235)</f>
        <v>661275</v>
      </c>
      <c r="D111" s="24" t="s">
        <v>288</v>
      </c>
      <c r="E111" s="95">
        <f>('DOE25'!L278)+('DOE25'!L297)+('DOE25'!L316)</f>
        <v>66324</v>
      </c>
      <c r="F111" s="24" t="s">
        <v>288</v>
      </c>
      <c r="G111" s="24" t="s">
        <v>288</v>
      </c>
    </row>
    <row r="112" spans="1:7" x14ac:dyDescent="0.2">
      <c r="A112" t="s">
        <v>201</v>
      </c>
      <c r="B112" s="32" t="s">
        <v>167</v>
      </c>
      <c r="C112" s="95">
        <f>('DOE25'!L200)+('DOE25'!L218)+('DOE25'!L236)</f>
        <v>283941</v>
      </c>
      <c r="D112" s="24" t="s">
        <v>288</v>
      </c>
      <c r="E112" s="95">
        <f>+('DOE25'!L279)+('DOE25'!L298)+('DOE25'!L317)</f>
        <v>539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70835</v>
      </c>
      <c r="F114" s="24" t="s">
        <v>288</v>
      </c>
      <c r="G114" s="24" t="s">
        <v>288</v>
      </c>
    </row>
    <row r="115" spans="1:7" ht="12.75" thickTop="1" thickBot="1" x14ac:dyDescent="0.25">
      <c r="A115" s="33" t="s">
        <v>205</v>
      </c>
      <c r="C115" s="86">
        <f>SUM(C109:C114)</f>
        <v>9443049</v>
      </c>
      <c r="D115" s="86">
        <f>SUM(D109:D114)</f>
        <v>0</v>
      </c>
      <c r="E115" s="86">
        <f>SUM(E109:E114)</f>
        <v>760634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1572929</v>
      </c>
      <c r="D118" s="24" t="s">
        <v>288</v>
      </c>
      <c r="E118" s="95">
        <f>+('DOE25'!L281)+('DOE25'!L300)+('DOE25'!L319)</f>
        <v>74806</v>
      </c>
      <c r="F118" s="24" t="s">
        <v>288</v>
      </c>
      <c r="G118" s="24" t="s">
        <v>288</v>
      </c>
    </row>
    <row r="119" spans="1:7" x14ac:dyDescent="0.2">
      <c r="A119" t="s">
        <v>208</v>
      </c>
      <c r="B119" s="32" t="s">
        <v>209</v>
      </c>
      <c r="C119" s="95">
        <f>('DOE25'!L203)+('DOE25'!L221)+('DOE25'!L239)</f>
        <v>801699</v>
      </c>
      <c r="D119" s="24" t="s">
        <v>288</v>
      </c>
      <c r="E119" s="95">
        <f>+('DOE25'!L282)+('DOE25'!L301)+('DOE25'!L320)</f>
        <v>-4577</v>
      </c>
      <c r="F119" s="24" t="s">
        <v>288</v>
      </c>
      <c r="G119" s="24" t="s">
        <v>288</v>
      </c>
    </row>
    <row r="120" spans="1:7" x14ac:dyDescent="0.2">
      <c r="A120" t="s">
        <v>210</v>
      </c>
      <c r="B120" s="32" t="s">
        <v>211</v>
      </c>
      <c r="C120" s="95">
        <f>('DOE25'!L204)+('DOE25'!L222)+('DOE25'!L240)</f>
        <v>779270</v>
      </c>
      <c r="D120" s="24" t="s">
        <v>288</v>
      </c>
      <c r="E120" s="95">
        <f>+('DOE25'!L283)+('DOE25'!L302)+('DOE25'!L321)</f>
        <v>21444</v>
      </c>
      <c r="F120" s="24" t="s">
        <v>288</v>
      </c>
      <c r="G120" s="24" t="s">
        <v>288</v>
      </c>
    </row>
    <row r="121" spans="1:7" x14ac:dyDescent="0.2">
      <c r="A121" t="s">
        <v>212</v>
      </c>
      <c r="B121" s="32" t="s">
        <v>213</v>
      </c>
      <c r="C121" s="95">
        <f>('DOE25'!L205)+('DOE25'!L223)+('DOE25'!L241)</f>
        <v>827125</v>
      </c>
      <c r="D121" s="24" t="s">
        <v>288</v>
      </c>
      <c r="E121" s="95">
        <f>+('DOE25'!L284)+('DOE25'!L303)+('DOE25'!L322)</f>
        <v>0</v>
      </c>
      <c r="F121" s="24" t="s">
        <v>288</v>
      </c>
      <c r="G121" s="24" t="s">
        <v>288</v>
      </c>
    </row>
    <row r="122" spans="1:7" x14ac:dyDescent="0.2">
      <c r="A122" t="s">
        <v>214</v>
      </c>
      <c r="B122" s="32" t="s">
        <v>215</v>
      </c>
      <c r="C122" s="95">
        <f>('DOE25'!L206)+('DOE25'!L224)+('DOE25'!L242)</f>
        <v>439437</v>
      </c>
      <c r="D122" s="24" t="s">
        <v>288</v>
      </c>
      <c r="E122" s="95">
        <f>+('DOE25'!L285)+('DOE25'!L304)+('DOE25'!L323)</f>
        <v>0</v>
      </c>
      <c r="F122" s="24" t="s">
        <v>288</v>
      </c>
      <c r="G122" s="24" t="s">
        <v>288</v>
      </c>
    </row>
    <row r="123" spans="1:7" x14ac:dyDescent="0.2">
      <c r="A123" t="s">
        <v>216</v>
      </c>
      <c r="B123" s="32" t="s">
        <v>217</v>
      </c>
      <c r="C123" s="95">
        <f>('DOE25'!L207)+('DOE25'!L225)+('DOE25'!L243)</f>
        <v>1425090</v>
      </c>
      <c r="D123" s="24" t="s">
        <v>288</v>
      </c>
      <c r="E123" s="95">
        <f>+('DOE25'!L286)+('DOE25'!L305)+('DOE25'!L324)</f>
        <v>0</v>
      </c>
      <c r="F123" s="24" t="s">
        <v>288</v>
      </c>
      <c r="G123" s="24" t="s">
        <v>288</v>
      </c>
    </row>
    <row r="124" spans="1:7" x14ac:dyDescent="0.2">
      <c r="A124" t="s">
        <v>218</v>
      </c>
      <c r="B124" s="32" t="s">
        <v>219</v>
      </c>
      <c r="C124" s="95">
        <f>('DOE25'!L208)+('DOE25'!L226)+('DOE25'!L244+'DOE25'!L254)</f>
        <v>886513</v>
      </c>
      <c r="D124" s="24" t="s">
        <v>288</v>
      </c>
      <c r="E124" s="95">
        <f>+('DOE25'!L287)+('DOE25'!L306)+('DOE25'!L325)</f>
        <v>14684</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401521</v>
      </c>
      <c r="E127" s="24" t="s">
        <v>288</v>
      </c>
      <c r="F127" s="24" t="s">
        <v>288</v>
      </c>
      <c r="G127" s="24" t="s">
        <v>288</v>
      </c>
    </row>
    <row r="128" spans="1:7" ht="12.75" thickTop="1" thickBot="1" x14ac:dyDescent="0.25">
      <c r="A128" s="33" t="s">
        <v>226</v>
      </c>
      <c r="C128" s="86">
        <f>SUM(C118:C127)</f>
        <v>6732063</v>
      </c>
      <c r="D128" s="86">
        <f>SUM(D118:D127)</f>
        <v>401521</v>
      </c>
      <c r="E128" s="86">
        <f>SUM(E118:E127)</f>
        <v>106357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510000</v>
      </c>
      <c r="D131" s="24" t="s">
        <v>288</v>
      </c>
      <c r="E131" s="129">
        <f>'DOE25'!L341</f>
        <v>0</v>
      </c>
      <c r="F131" s="24" t="s">
        <v>288</v>
      </c>
      <c r="G131" s="24" t="s">
        <v>288</v>
      </c>
    </row>
    <row r="132" spans="1:7" x14ac:dyDescent="0.2">
      <c r="A132" t="s">
        <v>230</v>
      </c>
      <c r="B132" s="32">
        <v>5120</v>
      </c>
      <c r="C132" s="95">
        <f>'DOE25'!L261</f>
        <v>230150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740150</v>
      </c>
      <c r="D144" s="141">
        <f>SUM(D130:D143)</f>
        <v>0</v>
      </c>
      <c r="E144" s="141">
        <f>SUM(E130:E143)</f>
        <v>0</v>
      </c>
      <c r="F144" s="141">
        <f>SUM(F130:F143)</f>
        <v>0</v>
      </c>
      <c r="G144" s="141">
        <f>SUM(G130:G143)</f>
        <v>0</v>
      </c>
    </row>
    <row r="145" spans="1:9" ht="12.75" thickTop="1" thickBot="1" x14ac:dyDescent="0.25">
      <c r="A145" s="33" t="s">
        <v>244</v>
      </c>
      <c r="C145" s="86">
        <f>(C115+C128+C144)</f>
        <v>16915262</v>
      </c>
      <c r="D145" s="86">
        <f>(D115+D128+D144)</f>
        <v>401521</v>
      </c>
      <c r="E145" s="86">
        <f>(E115+E128+E144)</f>
        <v>866991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8/15/2007</v>
      </c>
      <c r="C152" s="152">
        <f>'DOE25'!G491</f>
        <v>0</v>
      </c>
      <c r="D152" s="152">
        <f>'DOE25'!H491</f>
        <v>0</v>
      </c>
      <c r="E152" s="152">
        <f>'DOE25'!I491</f>
        <v>0</v>
      </c>
      <c r="F152" s="152">
        <f>'DOE25'!J491</f>
        <v>0</v>
      </c>
      <c r="G152" s="24" t="s">
        <v>288</v>
      </c>
    </row>
    <row r="153" spans="1:9" x14ac:dyDescent="0.2">
      <c r="A153" s="136" t="s">
        <v>29</v>
      </c>
      <c r="B153" s="152" t="str">
        <f>'DOE25'!F492</f>
        <v>8/5/2027</v>
      </c>
      <c r="C153" s="152">
        <f>'DOE25'!G492</f>
        <v>0</v>
      </c>
      <c r="D153" s="152">
        <f>'DOE25'!H492</f>
        <v>0</v>
      </c>
      <c r="E153" s="152">
        <f>'DOE25'!I492</f>
        <v>0</v>
      </c>
      <c r="F153" s="152">
        <f>'DOE25'!J492</f>
        <v>0</v>
      </c>
      <c r="G153" s="24" t="s">
        <v>288</v>
      </c>
    </row>
    <row r="154" spans="1:9" x14ac:dyDescent="0.2">
      <c r="A154" s="136" t="s">
        <v>30</v>
      </c>
      <c r="B154" s="137">
        <f>'DOE25'!F493</f>
        <v>10158100</v>
      </c>
      <c r="C154" s="137">
        <f>'DOE25'!G493</f>
        <v>0</v>
      </c>
      <c r="D154" s="137">
        <f>'DOE25'!H493</f>
        <v>0</v>
      </c>
      <c r="E154" s="137">
        <f>'DOE25'!I493</f>
        <v>0</v>
      </c>
      <c r="F154" s="137">
        <f>'DOE25'!J493</f>
        <v>0</v>
      </c>
      <c r="G154" s="24" t="s">
        <v>288</v>
      </c>
    </row>
    <row r="155" spans="1:9" x14ac:dyDescent="0.2">
      <c r="A155" s="136" t="s">
        <v>31</v>
      </c>
      <c r="B155" s="137">
        <f>'DOE25'!F494</f>
        <v>5</v>
      </c>
      <c r="C155" s="137">
        <f>'DOE25'!G494</f>
        <v>0</v>
      </c>
      <c r="D155" s="137">
        <f>'DOE25'!H494</f>
        <v>0</v>
      </c>
      <c r="E155" s="137">
        <f>'DOE25'!I494</f>
        <v>0</v>
      </c>
      <c r="F155" s="137">
        <f>'DOE25'!J494</f>
        <v>0</v>
      </c>
      <c r="G155" s="24" t="s">
        <v>288</v>
      </c>
    </row>
    <row r="156" spans="1:9" x14ac:dyDescent="0.2">
      <c r="A156" s="22" t="s">
        <v>32</v>
      </c>
      <c r="B156" s="137">
        <f>'DOE25'!F495</f>
        <v>5060000</v>
      </c>
      <c r="C156" s="137">
        <f>'DOE25'!G495</f>
        <v>0</v>
      </c>
      <c r="D156" s="137">
        <f>'DOE25'!H495</f>
        <v>0</v>
      </c>
      <c r="E156" s="137">
        <f>'DOE25'!I495</f>
        <v>0</v>
      </c>
      <c r="F156" s="137">
        <f>'DOE25'!J495</f>
        <v>0</v>
      </c>
      <c r="G156" s="138">
        <f>SUM(B156:F156)</f>
        <v>5060000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510000</v>
      </c>
      <c r="C158" s="137">
        <f>'DOE25'!G497</f>
        <v>0</v>
      </c>
      <c r="D158" s="137">
        <f>'DOE25'!H497</f>
        <v>0</v>
      </c>
      <c r="E158" s="137">
        <f>'DOE25'!I497</f>
        <v>0</v>
      </c>
      <c r="F158" s="137">
        <f>'DOE25'!J497</f>
        <v>0</v>
      </c>
      <c r="G158" s="138">
        <f t="shared" si="0"/>
        <v>510000</v>
      </c>
    </row>
    <row r="159" spans="1:9" x14ac:dyDescent="0.2">
      <c r="A159" s="22" t="s">
        <v>35</v>
      </c>
      <c r="B159" s="137">
        <f>'DOE25'!F498</f>
        <v>4550000</v>
      </c>
      <c r="C159" s="137">
        <f>'DOE25'!G498</f>
        <v>0</v>
      </c>
      <c r="D159" s="137">
        <f>'DOE25'!H498</f>
        <v>0</v>
      </c>
      <c r="E159" s="137">
        <f>'DOE25'!I498</f>
        <v>0</v>
      </c>
      <c r="F159" s="137">
        <f>'DOE25'!J498</f>
        <v>0</v>
      </c>
      <c r="G159" s="138">
        <f t="shared" si="0"/>
        <v>4550000</v>
      </c>
    </row>
    <row r="160" spans="1:9" x14ac:dyDescent="0.2">
      <c r="A160" s="22" t="s">
        <v>36</v>
      </c>
      <c r="B160" s="137">
        <f>'DOE25'!F499</f>
        <v>673576</v>
      </c>
      <c r="C160" s="137">
        <f>'DOE25'!G499</f>
        <v>0</v>
      </c>
      <c r="D160" s="137">
        <f>'DOE25'!H499</f>
        <v>0</v>
      </c>
      <c r="E160" s="137">
        <f>'DOE25'!I499</f>
        <v>0</v>
      </c>
      <c r="F160" s="137">
        <f>'DOE25'!J499</f>
        <v>0</v>
      </c>
      <c r="G160" s="138">
        <f t="shared" si="0"/>
        <v>673576</v>
      </c>
    </row>
    <row r="161" spans="1:7" x14ac:dyDescent="0.2">
      <c r="A161" s="22" t="s">
        <v>37</v>
      </c>
      <c r="B161" s="137">
        <f>'DOE25'!F500</f>
        <v>5223576</v>
      </c>
      <c r="C161" s="137">
        <f>'DOE25'!G500</f>
        <v>0</v>
      </c>
      <c r="D161" s="137">
        <f>'DOE25'!H500</f>
        <v>0</v>
      </c>
      <c r="E161" s="137">
        <f>'DOE25'!I500</f>
        <v>0</v>
      </c>
      <c r="F161" s="137">
        <f>'DOE25'!J500</f>
        <v>0</v>
      </c>
      <c r="G161" s="138">
        <f t="shared" si="0"/>
        <v>5223576</v>
      </c>
    </row>
    <row r="162" spans="1:7" x14ac:dyDescent="0.2">
      <c r="A162" s="22" t="s">
        <v>38</v>
      </c>
      <c r="B162" s="137">
        <f>'DOE25'!F501</f>
        <v>510000</v>
      </c>
      <c r="C162" s="137">
        <f>'DOE25'!G501</f>
        <v>0</v>
      </c>
      <c r="D162" s="137">
        <f>'DOE25'!H501</f>
        <v>0</v>
      </c>
      <c r="E162" s="137">
        <f>'DOE25'!I501</f>
        <v>0</v>
      </c>
      <c r="F162" s="137">
        <f>'DOE25'!J501</f>
        <v>0</v>
      </c>
      <c r="G162" s="138">
        <f t="shared" si="0"/>
        <v>510000</v>
      </c>
    </row>
    <row r="163" spans="1:7" x14ac:dyDescent="0.2">
      <c r="A163" s="22" t="s">
        <v>39</v>
      </c>
      <c r="B163" s="137">
        <f>'DOE25'!F502</f>
        <v>215000</v>
      </c>
      <c r="C163" s="137">
        <f>'DOE25'!G502</f>
        <v>0</v>
      </c>
      <c r="D163" s="137">
        <f>'DOE25'!H502</f>
        <v>0</v>
      </c>
      <c r="E163" s="137">
        <f>'DOE25'!I502</f>
        <v>0</v>
      </c>
      <c r="F163" s="137">
        <f>'DOE25'!J502</f>
        <v>0</v>
      </c>
      <c r="G163" s="138">
        <f t="shared" si="0"/>
        <v>215000</v>
      </c>
    </row>
    <row r="164" spans="1:7" x14ac:dyDescent="0.2">
      <c r="A164" s="22" t="s">
        <v>246</v>
      </c>
      <c r="B164" s="137">
        <f>'DOE25'!F503</f>
        <v>725000</v>
      </c>
      <c r="C164" s="137">
        <f>'DOE25'!G503</f>
        <v>0</v>
      </c>
      <c r="D164" s="137">
        <f>'DOE25'!H503</f>
        <v>0</v>
      </c>
      <c r="E164" s="137">
        <f>'DOE25'!I503</f>
        <v>0</v>
      </c>
      <c r="F164" s="137">
        <f>'DOE25'!J503</f>
        <v>0</v>
      </c>
      <c r="G164" s="138">
        <f t="shared" si="0"/>
        <v>725000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NEWPORT SCHOOL DISTRICT</v>
      </c>
    </row>
    <row r="3" spans="1:4" x14ac:dyDescent="0.2">
      <c r="B3" s="188" t="s">
        <v>1602</v>
      </c>
    </row>
    <row r="4" spans="1:4" x14ac:dyDescent="0.2">
      <c r="B4" t="s">
        <v>61</v>
      </c>
      <c r="C4" s="179">
        <f>IF('DOE25'!F665+'DOE25'!F670=0,0,ROUND('DOE25'!F672,0))</f>
        <v>15311</v>
      </c>
    </row>
    <row r="5" spans="1:4" x14ac:dyDescent="0.2">
      <c r="B5" t="s">
        <v>700</v>
      </c>
      <c r="C5" s="179">
        <f>IF('DOE25'!G665+'DOE25'!G670=0,0,ROUND('DOE25'!G672,0))</f>
        <v>14892</v>
      </c>
    </row>
    <row r="6" spans="1:4" x14ac:dyDescent="0.2">
      <c r="B6" t="s">
        <v>62</v>
      </c>
      <c r="C6" s="179">
        <f>IF('DOE25'!H665+'DOE25'!H670=0,0,ROUND('DOE25'!H672,0))</f>
        <v>17433</v>
      </c>
    </row>
    <row r="7" spans="1:4" x14ac:dyDescent="0.2">
      <c r="B7" t="s">
        <v>701</v>
      </c>
      <c r="C7" s="179">
        <f>IF('DOE25'!I665+'DOE25'!I670=0,0,ROUND('DOE25'!I672,0))</f>
        <v>15948</v>
      </c>
    </row>
    <row r="9" spans="1:4" x14ac:dyDescent="0.2">
      <c r="A9" s="187" t="s">
        <v>94</v>
      </c>
      <c r="B9" s="188" t="s">
        <v>1603</v>
      </c>
      <c r="C9" s="181" t="s">
        <v>720</v>
      </c>
      <c r="D9" s="181" t="s">
        <v>721</v>
      </c>
    </row>
    <row r="10" spans="1:4" x14ac:dyDescent="0.2">
      <c r="A10">
        <v>1100</v>
      </c>
      <c r="B10" t="s">
        <v>702</v>
      </c>
      <c r="C10" s="179">
        <f>ROUND('DOE25'!L197+'DOE25'!L215+'DOE25'!L233+'DOE25'!L276+'DOE25'!L295+'DOE25'!L314,0)</f>
        <v>5499875</v>
      </c>
      <c r="D10" s="182">
        <f>ROUND((C10/$C$28)*100,1)</f>
        <v>31.4</v>
      </c>
    </row>
    <row r="11" spans="1:4" x14ac:dyDescent="0.2">
      <c r="A11">
        <v>1200</v>
      </c>
      <c r="B11" t="s">
        <v>703</v>
      </c>
      <c r="C11" s="179">
        <f>ROUND('DOE25'!L198+'DOE25'!L216+'DOE25'!L234+'DOE25'!L277+'DOE25'!L296+'DOE25'!L315,0)</f>
        <v>3620894</v>
      </c>
      <c r="D11" s="182">
        <f>ROUND((C11/$C$28)*100,1)</f>
        <v>20.7</v>
      </c>
    </row>
    <row r="12" spans="1:4" x14ac:dyDescent="0.2">
      <c r="A12">
        <v>1300</v>
      </c>
      <c r="B12" t="s">
        <v>704</v>
      </c>
      <c r="C12" s="179">
        <f>ROUND('DOE25'!L199+'DOE25'!L217+'DOE25'!L235+'DOE25'!L278+'DOE25'!L297+'DOE25'!L316,0)</f>
        <v>727599</v>
      </c>
      <c r="D12" s="182">
        <f>ROUND((C12/$C$28)*100,1)</f>
        <v>4.2</v>
      </c>
    </row>
    <row r="13" spans="1:4" x14ac:dyDescent="0.2">
      <c r="A13">
        <v>1400</v>
      </c>
      <c r="B13" t="s">
        <v>705</v>
      </c>
      <c r="C13" s="179">
        <f>ROUND('DOE25'!L200+'DOE25'!L218+'DOE25'!L236+'DOE25'!L279+'DOE25'!L298+'DOE25'!L317,0)</f>
        <v>284480</v>
      </c>
      <c r="D13" s="182">
        <f>ROUND((C13/$C$28)*100,1)</f>
        <v>1.6</v>
      </c>
    </row>
    <row r="14" spans="1:4" x14ac:dyDescent="0.2">
      <c r="D14" s="182"/>
    </row>
    <row r="15" spans="1:4" x14ac:dyDescent="0.2">
      <c r="A15">
        <v>2100</v>
      </c>
      <c r="B15" t="s">
        <v>706</v>
      </c>
      <c r="C15" s="179">
        <f>ROUND('DOE25'!L202+'DOE25'!L220+'DOE25'!L238+'DOE25'!L281+'DOE25'!L300+'DOE25'!L319,0)</f>
        <v>1647735</v>
      </c>
      <c r="D15" s="182">
        <f t="shared" ref="D15:D27" si="0">ROUND((C15/$C$28)*100,1)</f>
        <v>9.4</v>
      </c>
    </row>
    <row r="16" spans="1:4" x14ac:dyDescent="0.2">
      <c r="A16">
        <v>2200</v>
      </c>
      <c r="B16" t="s">
        <v>707</v>
      </c>
      <c r="C16" s="179">
        <f>ROUND('DOE25'!L203+'DOE25'!L221+'DOE25'!L239+'DOE25'!L282+'DOE25'!L301+'DOE25'!L320,0)</f>
        <v>797122</v>
      </c>
      <c r="D16" s="182">
        <f t="shared" si="0"/>
        <v>4.5</v>
      </c>
    </row>
    <row r="17" spans="1:4" x14ac:dyDescent="0.2">
      <c r="A17" s="183" t="s">
        <v>723</v>
      </c>
      <c r="B17" t="s">
        <v>738</v>
      </c>
      <c r="C17" s="179">
        <f>ROUND('DOE25'!L204+'DOE25'!L209+'DOE25'!L222+'DOE25'!L227+'DOE25'!L240+'DOE25'!L245+'DOE25'!L283+'DOE25'!L288+'DOE25'!L302+'DOE25'!L307+'DOE25'!L321+'DOE25'!L326,0)</f>
        <v>800714</v>
      </c>
      <c r="D17" s="182">
        <f t="shared" si="0"/>
        <v>4.5999999999999996</v>
      </c>
    </row>
    <row r="18" spans="1:4" x14ac:dyDescent="0.2">
      <c r="A18">
        <v>2400</v>
      </c>
      <c r="B18" t="s">
        <v>711</v>
      </c>
      <c r="C18" s="179">
        <f>ROUND('DOE25'!L205+'DOE25'!L223+'DOE25'!L241+'DOE25'!L284+'DOE25'!L303+'DOE25'!L322,0)</f>
        <v>827125</v>
      </c>
      <c r="D18" s="182">
        <f t="shared" si="0"/>
        <v>4.7</v>
      </c>
    </row>
    <row r="19" spans="1:4" x14ac:dyDescent="0.2">
      <c r="A19">
        <v>2500</v>
      </c>
      <c r="B19" t="s">
        <v>708</v>
      </c>
      <c r="C19" s="179">
        <f>ROUND('DOE25'!L206+'DOE25'!L224+'DOE25'!L242+'DOE25'!L285+'DOE25'!L304+'DOE25'!L323,0)</f>
        <v>439437</v>
      </c>
      <c r="D19" s="182">
        <f t="shared" si="0"/>
        <v>2.5</v>
      </c>
    </row>
    <row r="20" spans="1:4" x14ac:dyDescent="0.2">
      <c r="A20">
        <v>2600</v>
      </c>
      <c r="B20" t="s">
        <v>709</v>
      </c>
      <c r="C20" s="179">
        <f>ROUND('DOE25'!L207+'DOE25'!L225+'DOE25'!L243+'DOE25'!L286+'DOE25'!L305+'DOE25'!L324,0)</f>
        <v>1425090</v>
      </c>
      <c r="D20" s="182">
        <f t="shared" si="0"/>
        <v>8.1</v>
      </c>
    </row>
    <row r="21" spans="1:4" x14ac:dyDescent="0.2">
      <c r="A21">
        <v>2700</v>
      </c>
      <c r="B21" t="s">
        <v>710</v>
      </c>
      <c r="C21" s="179">
        <f>ROUND('DOE25'!L208+'DOE25'!L226+'DOE25'!L244+'DOE25'!L287+'DOE25'!L306+'DOE25'!L325,0)</f>
        <v>901197</v>
      </c>
      <c r="D21" s="182">
        <f t="shared" si="0"/>
        <v>5.0999999999999996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70835</v>
      </c>
      <c r="D24" s="182">
        <f t="shared" si="0"/>
        <v>0.4</v>
      </c>
    </row>
    <row r="25" spans="1:4" x14ac:dyDescent="0.2">
      <c r="A25">
        <v>5120</v>
      </c>
      <c r="B25" t="s">
        <v>716</v>
      </c>
      <c r="C25" s="179">
        <f>ROUND('DOE25'!L261+'DOE25'!L342,0)</f>
        <v>230150</v>
      </c>
      <c r="D25" s="182">
        <f t="shared" si="0"/>
        <v>1.3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256894</v>
      </c>
      <c r="D27" s="182">
        <f t="shared" si="0"/>
        <v>1.5</v>
      </c>
    </row>
    <row r="28" spans="1:4" x14ac:dyDescent="0.2">
      <c r="B28" s="187" t="s">
        <v>719</v>
      </c>
      <c r="C28" s="180">
        <f>SUM(C10:C27)</f>
        <v>17529147</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17529147</v>
      </c>
    </row>
    <row r="31" spans="1:4" x14ac:dyDescent="0.2">
      <c r="B31" s="33"/>
      <c r="C31" s="180"/>
    </row>
    <row r="32" spans="1:4" x14ac:dyDescent="0.2">
      <c r="A32">
        <v>5100</v>
      </c>
      <c r="B32" s="33" t="s">
        <v>726</v>
      </c>
      <c r="C32" s="180">
        <f>ROUND('DOE25'!L260+'DOE25'!L341,0)</f>
        <v>510000</v>
      </c>
    </row>
    <row r="34" spans="1:4" x14ac:dyDescent="0.2">
      <c r="A34" s="187" t="s">
        <v>94</v>
      </c>
      <c r="B34" s="188" t="s">
        <v>1604</v>
      </c>
      <c r="C34" s="181" t="s">
        <v>720</v>
      </c>
      <c r="D34" s="181" t="s">
        <v>721</v>
      </c>
    </row>
    <row r="35" spans="1:4" x14ac:dyDescent="0.2">
      <c r="A35">
        <v>1100</v>
      </c>
      <c r="B35" s="185" t="s">
        <v>727</v>
      </c>
      <c r="C35" s="179">
        <f>ROUND('DOE25'!F60+'DOE25'!G60+'DOE25'!H60+'DOE25'!I60+'DOE25'!J60,0)</f>
        <v>5899159</v>
      </c>
      <c r="D35" s="182">
        <f t="shared" ref="D35:D40" si="1">ROUND((C35/$C$41)*100,1)</f>
        <v>33</v>
      </c>
    </row>
    <row r="36" spans="1:4" x14ac:dyDescent="0.2">
      <c r="B36" s="185" t="s">
        <v>739</v>
      </c>
      <c r="C36" s="179">
        <f>SUM('DOE25'!F112:J112)-SUM('DOE25'!G97:G110)+('DOE25'!F174+'DOE25'!F175+'DOE25'!I174+'DOE25'!I175)-C35</f>
        <v>2172721</v>
      </c>
      <c r="D36" s="182">
        <f t="shared" si="1"/>
        <v>12.2</v>
      </c>
    </row>
    <row r="37" spans="1:4" x14ac:dyDescent="0.2">
      <c r="A37" s="183" t="s">
        <v>835</v>
      </c>
      <c r="B37" s="185" t="s">
        <v>728</v>
      </c>
      <c r="C37" s="179">
        <f>ROUND('DOE25'!F117+'DOE25'!F118,0)</f>
        <v>7405262</v>
      </c>
      <c r="D37" s="182">
        <f t="shared" si="1"/>
        <v>41.4</v>
      </c>
    </row>
    <row r="38" spans="1:4" x14ac:dyDescent="0.2">
      <c r="A38" s="183" t="s">
        <v>734</v>
      </c>
      <c r="B38" s="185" t="s">
        <v>729</v>
      </c>
      <c r="C38" s="179">
        <f>ROUND(SUM('DOE25'!F140:J140)-SUM('DOE25'!F117:F119),0)</f>
        <v>601632</v>
      </c>
      <c r="D38" s="182">
        <f t="shared" si="1"/>
        <v>3.4</v>
      </c>
    </row>
    <row r="39" spans="1:4" x14ac:dyDescent="0.2">
      <c r="A39">
        <v>4000</v>
      </c>
      <c r="B39" s="185" t="s">
        <v>730</v>
      </c>
      <c r="C39" s="179">
        <f>ROUND('DOE25'!F169+'DOE25'!G169+'DOE25'!H169+'DOE25'!I169,0)</f>
        <v>1794638</v>
      </c>
      <c r="D39" s="182">
        <f t="shared" si="1"/>
        <v>10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17873412</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NEWPORT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0" ma:contentTypeDescription="Create a new document." ma:contentTypeScope="" ma:versionID="714debafe42182f4748ddf86c4b8f268">
  <xsd:schema xmlns:xsd="http://www.w3.org/2001/XMLSchema" xmlns:xs="http://www.w3.org/2001/XMLSchema" xmlns:p="http://schemas.microsoft.com/office/2006/metadata/properties" xmlns:ns2="e10c9d99-3472-4092-b024-1e9134c86f41" targetNamespace="http://schemas.microsoft.com/office/2006/metadata/properties" ma:root="true" ma:fieldsID="e5aa93204adc1e5bae86210868fdf9b7" ns2:_="">
    <xsd:import namespace="e10c9d99-3472-4092-b024-1e9134c86f4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EB23AC-48A9-42AC-8F35-BB6F9A012045}">
  <ds:schemaRefs>
    <ds:schemaRef ds:uri="http://schemas.microsoft.com/sharepoint/v3/contenttype/forms"/>
  </ds:schemaRefs>
</ds:datastoreItem>
</file>

<file path=customXml/itemProps2.xml><?xml version="1.0" encoding="utf-8"?>
<ds:datastoreItem xmlns:ds="http://schemas.openxmlformats.org/officeDocument/2006/customXml" ds:itemID="{61B57D27-BD38-4D9E-AFF4-43D00A3DE4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5A7F5C-EA03-4A89-9D79-87BF10DECECE}">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e10c9d99-3472-4092-b024-1e9134c86f4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2019-11-01T14:37:33Z</cp:lastPrinted>
  <dcterms:created xsi:type="dcterms:W3CDTF">1997-12-04T19:04:30Z</dcterms:created>
  <dcterms:modified xsi:type="dcterms:W3CDTF">2020-10-26T14:12:24Z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0x01010010571A22EEC1C7428E87E013D40CF161</vt:lpwstr>
  </property>
  <property fmtid="{D5CDD505-2E9C-101B-9397-08002B2CF9AE}" pid="3" name="Order">
    <vt:r8>12778800</vt:r8>
  </property>
</Properties>
</file>