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10" i="12" l="1"/>
  <c r="C11" i="12"/>
  <c r="G197" i="1"/>
  <c r="G203" i="1"/>
  <c r="J521" i="1"/>
  <c r="I521" i="1"/>
  <c r="H521" i="1"/>
  <c r="G521" i="1"/>
  <c r="F521" i="1"/>
  <c r="C20" i="12"/>
  <c r="C21" i="12"/>
  <c r="G531" i="1"/>
  <c r="B10" i="12"/>
  <c r="B11" i="12"/>
  <c r="B12" i="12"/>
  <c r="B20" i="12"/>
  <c r="B21" i="12"/>
  <c r="H604" i="1"/>
  <c r="F472" i="1"/>
  <c r="K200" i="1"/>
  <c r="J197" i="1"/>
  <c r="I203" i="1"/>
  <c r="I197" i="1"/>
  <c r="H197" i="1"/>
  <c r="G30" i="1"/>
  <c r="I277" i="1"/>
  <c r="K358" i="1"/>
  <c r="G472" i="1"/>
  <c r="F197" i="1"/>
  <c r="F531" i="1"/>
  <c r="H159" i="1"/>
  <c r="H155" i="1"/>
  <c r="H154" i="1"/>
  <c r="J468" i="1"/>
  <c r="F368" i="1"/>
  <c r="F367" i="1"/>
  <c r="G97" i="1"/>
  <c r="G40" i="1"/>
  <c r="I358" i="1"/>
  <c r="F358" i="1"/>
  <c r="J203" i="1"/>
  <c r="H208" i="1"/>
  <c r="H207" i="1"/>
  <c r="H204" i="1"/>
  <c r="H203" i="1"/>
  <c r="F202" i="1"/>
  <c r="F203" i="1"/>
  <c r="F186" i="1"/>
  <c r="F29" i="1" l="1"/>
  <c r="F9"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L250" i="1"/>
  <c r="C113" i="2" s="1"/>
  <c r="L332" i="1"/>
  <c r="L254" i="1"/>
  <c r="L268" i="1"/>
  <c r="L269" i="1"/>
  <c r="C143" i="2" s="1"/>
  <c r="L349" i="1"/>
  <c r="L350" i="1"/>
  <c r="I665" i="1"/>
  <c r="I670" i="1"/>
  <c r="G662" i="1"/>
  <c r="H662" i="1"/>
  <c r="I669" i="1"/>
  <c r="C4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G552"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C18" i="2" s="1"/>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E85" i="2"/>
  <c r="F85" i="2"/>
  <c r="C87" i="2"/>
  <c r="C91" i="2" s="1"/>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E113" i="2"/>
  <c r="D115" i="2"/>
  <c r="F115" i="2"/>
  <c r="G115" i="2"/>
  <c r="E121" i="2"/>
  <c r="E123" i="2"/>
  <c r="E124" i="2"/>
  <c r="E125" i="2"/>
  <c r="F128" i="2"/>
  <c r="G128" i="2"/>
  <c r="D134" i="2"/>
  <c r="D144" i="2" s="1"/>
  <c r="E134" i="2"/>
  <c r="F134" i="2"/>
  <c r="K419" i="1"/>
  <c r="K427" i="1"/>
  <c r="K433" i="1"/>
  <c r="L263" i="1"/>
  <c r="C135" i="2" s="1"/>
  <c r="E135" i="2"/>
  <c r="L264" i="1"/>
  <c r="C136" i="2" s="1"/>
  <c r="L265" i="1"/>
  <c r="C137" i="2" s="1"/>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J257" i="1" s="1"/>
  <c r="K211" i="1"/>
  <c r="F229" i="1"/>
  <c r="G229" i="1"/>
  <c r="H229" i="1"/>
  <c r="I229" i="1"/>
  <c r="J229" i="1"/>
  <c r="K229" i="1"/>
  <c r="F247" i="1"/>
  <c r="G247" i="1"/>
  <c r="H247" i="1"/>
  <c r="I247" i="1"/>
  <c r="J247" i="1"/>
  <c r="K247" i="1"/>
  <c r="F256" i="1"/>
  <c r="G256" i="1"/>
  <c r="H256" i="1"/>
  <c r="L256" i="1" s="1"/>
  <c r="I256" i="1"/>
  <c r="J256" i="1"/>
  <c r="K256" i="1"/>
  <c r="F290" i="1"/>
  <c r="F338" i="1" s="1"/>
  <c r="F352" i="1" s="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L381" i="1"/>
  <c r="F382" i="1"/>
  <c r="G382" i="1"/>
  <c r="H382" i="1"/>
  <c r="I382" i="1"/>
  <c r="J382" i="1"/>
  <c r="K382" i="1"/>
  <c r="F393" i="1"/>
  <c r="F408" i="1" s="1"/>
  <c r="H643" i="1" s="1"/>
  <c r="J643" i="1" s="1"/>
  <c r="G393" i="1"/>
  <c r="H393" i="1"/>
  <c r="I393" i="1"/>
  <c r="F401" i="1"/>
  <c r="G401" i="1"/>
  <c r="G408" i="1" s="1"/>
  <c r="H645" i="1" s="1"/>
  <c r="H401" i="1"/>
  <c r="I401" i="1"/>
  <c r="F407" i="1"/>
  <c r="G407" i="1"/>
  <c r="H407" i="1"/>
  <c r="I407" i="1"/>
  <c r="I408" i="1"/>
  <c r="L413" i="1"/>
  <c r="L414" i="1"/>
  <c r="L415" i="1"/>
  <c r="L416" i="1"/>
  <c r="L419" i="1" s="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G446" i="1"/>
  <c r="H446" i="1"/>
  <c r="F452" i="1"/>
  <c r="F461" i="1" s="1"/>
  <c r="H639" i="1" s="1"/>
  <c r="G452" i="1"/>
  <c r="G461" i="1" s="1"/>
  <c r="H640" i="1" s="1"/>
  <c r="H452" i="1"/>
  <c r="F460" i="1"/>
  <c r="G460" i="1"/>
  <c r="H460" i="1"/>
  <c r="H461" i="1" s="1"/>
  <c r="H641" i="1" s="1"/>
  <c r="J641"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I545" i="1" s="1"/>
  <c r="J524" i="1"/>
  <c r="K524" i="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57" i="1"/>
  <c r="L560" i="1" s="1"/>
  <c r="L558" i="1"/>
  <c r="L559" i="1"/>
  <c r="F560" i="1"/>
  <c r="G560" i="1"/>
  <c r="H560" i="1"/>
  <c r="I560" i="1"/>
  <c r="J560" i="1"/>
  <c r="J571" i="1" s="1"/>
  <c r="K560" i="1"/>
  <c r="L562" i="1"/>
  <c r="L563" i="1"/>
  <c r="L564" i="1"/>
  <c r="F565" i="1"/>
  <c r="F571" i="1" s="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9" i="1"/>
  <c r="G620" i="1"/>
  <c r="G622" i="1"/>
  <c r="G623" i="1"/>
  <c r="G624" i="1"/>
  <c r="G625" i="1"/>
  <c r="H627" i="1"/>
  <c r="H628" i="1"/>
  <c r="H629" i="1"/>
  <c r="H630" i="1"/>
  <c r="H631" i="1"/>
  <c r="H632" i="1"/>
  <c r="H633" i="1"/>
  <c r="G634" i="1"/>
  <c r="H635" i="1"/>
  <c r="H636" i="1"/>
  <c r="H637" i="1"/>
  <c r="H638" i="1"/>
  <c r="G640" i="1"/>
  <c r="G641" i="1"/>
  <c r="G643" i="1"/>
  <c r="G644" i="1"/>
  <c r="G645" i="1"/>
  <c r="G650" i="1"/>
  <c r="G651" i="1"/>
  <c r="G652" i="1"/>
  <c r="H652" i="1"/>
  <c r="G653" i="1"/>
  <c r="H653" i="1"/>
  <c r="G654" i="1"/>
  <c r="H654" i="1"/>
  <c r="H655" i="1"/>
  <c r="J655" i="1" s="1"/>
  <c r="E103" i="2"/>
  <c r="D91" i="2"/>
  <c r="G62" i="2"/>
  <c r="H112" i="1"/>
  <c r="D81" i="2"/>
  <c r="I169" i="1"/>
  <c r="J140" i="1"/>
  <c r="G22" i="2"/>
  <c r="H140" i="1"/>
  <c r="L401" i="1"/>
  <c r="C139" i="2" s="1"/>
  <c r="J651" i="1"/>
  <c r="H192" i="1"/>
  <c r="J625" i="1" l="1"/>
  <c r="E118" i="2"/>
  <c r="G161" i="2"/>
  <c r="G157" i="2"/>
  <c r="G156" i="2"/>
  <c r="C26" i="10"/>
  <c r="C110" i="2"/>
  <c r="L247" i="1"/>
  <c r="G36" i="14" s="1"/>
  <c r="H36" i="14" s="1"/>
  <c r="I36" i="14" s="1"/>
  <c r="L614" i="1"/>
  <c r="K571" i="1"/>
  <c r="L570" i="1"/>
  <c r="L571" i="1" s="1"/>
  <c r="H571" i="1"/>
  <c r="L565" i="1"/>
  <c r="I571" i="1"/>
  <c r="G81" i="2"/>
  <c r="F78" i="2"/>
  <c r="F81" i="2" s="1"/>
  <c r="F104" i="2" s="1"/>
  <c r="E120" i="2"/>
  <c r="F661" i="1"/>
  <c r="C18" i="10"/>
  <c r="F257" i="1"/>
  <c r="F271" i="1" s="1"/>
  <c r="L393" i="1"/>
  <c r="C138" i="2" s="1"/>
  <c r="E122" i="2"/>
  <c r="L529" i="1"/>
  <c r="H408" i="1"/>
  <c r="H644" i="1" s="1"/>
  <c r="J644" i="1" s="1"/>
  <c r="G338" i="1"/>
  <c r="G352" i="1" s="1"/>
  <c r="K257" i="1"/>
  <c r="K271" i="1" s="1"/>
  <c r="C114" i="2"/>
  <c r="I552" i="1"/>
  <c r="H552" i="1"/>
  <c r="L351" i="1"/>
  <c r="F130" i="2"/>
  <c r="F144" i="2" s="1"/>
  <c r="F145" i="2" s="1"/>
  <c r="E119" i="2"/>
  <c r="E128" i="2" s="1"/>
  <c r="C119" i="2"/>
  <c r="C112" i="2"/>
  <c r="C125" i="2"/>
  <c r="G545" i="1"/>
  <c r="H257" i="1"/>
  <c r="H271" i="1" s="1"/>
  <c r="G476" i="1"/>
  <c r="H623" i="1" s="1"/>
  <c r="H545" i="1"/>
  <c r="J552" i="1"/>
  <c r="K545" i="1"/>
  <c r="K549" i="1"/>
  <c r="F552" i="1"/>
  <c r="H476" i="1"/>
  <c r="H624" i="1" s="1"/>
  <c r="J624" i="1" s="1"/>
  <c r="L290" i="1"/>
  <c r="C13" i="10"/>
  <c r="H52" i="1"/>
  <c r="H619" i="1" s="1"/>
  <c r="J645" i="1"/>
  <c r="J476" i="1"/>
  <c r="H626" i="1" s="1"/>
  <c r="J640" i="1"/>
  <c r="K598" i="1"/>
  <c r="G647" i="1" s="1"/>
  <c r="J647" i="1" s="1"/>
  <c r="G164" i="2"/>
  <c r="G192" i="1"/>
  <c r="D62" i="2"/>
  <c r="D63" i="2" s="1"/>
  <c r="D50" i="2"/>
  <c r="D51" i="2" s="1"/>
  <c r="J623" i="1"/>
  <c r="D18" i="2"/>
  <c r="I369" i="1"/>
  <c r="H634" i="1" s="1"/>
  <c r="J634" i="1" s="1"/>
  <c r="F476" i="1"/>
  <c r="H622" i="1" s="1"/>
  <c r="J622" i="1" s="1"/>
  <c r="C121" i="2"/>
  <c r="D6" i="13"/>
  <c r="C6" i="13" s="1"/>
  <c r="C20" i="10"/>
  <c r="I257" i="1"/>
  <c r="I271" i="1" s="1"/>
  <c r="H647" i="1"/>
  <c r="C120" i="2"/>
  <c r="L211" i="1"/>
  <c r="C11" i="10"/>
  <c r="F192" i="1"/>
  <c r="C78" i="2"/>
  <c r="C70" i="2"/>
  <c r="F112" i="1"/>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H660" i="1"/>
  <c r="C10" i="10"/>
  <c r="C109" i="2"/>
  <c r="C115" i="2" s="1"/>
  <c r="L229" i="1"/>
  <c r="G24" i="14" s="1"/>
  <c r="L337" i="1"/>
  <c r="F62" i="2"/>
  <c r="F63" i="2" s="1"/>
  <c r="C23" i="10"/>
  <c r="G163" i="2"/>
  <c r="G162" i="2"/>
  <c r="G160" i="2"/>
  <c r="G159" i="2"/>
  <c r="G158" i="2"/>
  <c r="G103" i="2"/>
  <c r="F103" i="2"/>
  <c r="C103" i="2"/>
  <c r="F91" i="2"/>
  <c r="E50" i="2"/>
  <c r="E51" i="2" s="1"/>
  <c r="C50" i="2"/>
  <c r="F31" i="2"/>
  <c r="C31" i="2"/>
  <c r="E18" i="2"/>
  <c r="E144" i="2"/>
  <c r="F50" i="2"/>
  <c r="F51" i="2" s="1"/>
  <c r="L338" i="1"/>
  <c r="L352" i="1" s="1"/>
  <c r="G633" i="1" s="1"/>
  <c r="J633" i="1" s="1"/>
  <c r="C24" i="10"/>
  <c r="H31" i="13"/>
  <c r="H33" i="13" s="1"/>
  <c r="I338" i="1"/>
  <c r="I352" i="1" s="1"/>
  <c r="J650" i="1"/>
  <c r="L407" i="1"/>
  <c r="C140" i="2" s="1"/>
  <c r="C141" i="2" s="1"/>
  <c r="C144" i="2" s="1"/>
  <c r="I192" i="1"/>
  <c r="E91" i="2"/>
  <c r="E104" i="2" s="1"/>
  <c r="L408" i="1"/>
  <c r="G637" i="1" s="1"/>
  <c r="J637" i="1" s="1"/>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G63" i="2"/>
  <c r="J618" i="1"/>
  <c r="G42" i="2"/>
  <c r="G50" i="2" s="1"/>
  <c r="G51" i="2" s="1"/>
  <c r="J51" i="1"/>
  <c r="G16" i="2"/>
  <c r="G18" i="2" s="1"/>
  <c r="J19" i="1"/>
  <c r="G621" i="1" s="1"/>
  <c r="F545" i="1"/>
  <c r="H434" i="1"/>
  <c r="J620" i="1"/>
  <c r="J619" i="1"/>
  <c r="D103" i="2"/>
  <c r="D104" i="2" s="1"/>
  <c r="I140" i="1"/>
  <c r="A22" i="12"/>
  <c r="J652" i="1"/>
  <c r="G571" i="1"/>
  <c r="I434" i="1"/>
  <c r="G434" i="1"/>
  <c r="I663" i="1"/>
  <c r="C27" i="10"/>
  <c r="G635" i="1"/>
  <c r="J635" i="1" s="1"/>
  <c r="C81" i="2" l="1"/>
  <c r="I193" i="1"/>
  <c r="G630" i="1" s="1"/>
  <c r="J630" i="1" s="1"/>
  <c r="E33" i="13"/>
  <c r="D35" i="13" s="1"/>
  <c r="G33" i="13"/>
  <c r="G4" i="14"/>
  <c r="H4" i="14" s="1"/>
  <c r="I4" i="14" s="1"/>
  <c r="L545" i="1"/>
  <c r="H648" i="1"/>
  <c r="J648" i="1" s="1"/>
  <c r="E145" i="2"/>
  <c r="G104" i="2"/>
  <c r="H646" i="1"/>
  <c r="H664" i="1"/>
  <c r="C128" i="2"/>
  <c r="C145" i="2" s="1"/>
  <c r="C16" i="13"/>
  <c r="F660" i="1"/>
  <c r="F664" i="1" s="1"/>
  <c r="F672" i="1" s="1"/>
  <c r="C4" i="10" s="1"/>
  <c r="L257" i="1"/>
  <c r="L271" i="1" s="1"/>
  <c r="G632" i="1" s="1"/>
  <c r="J632" i="1" s="1"/>
  <c r="F193" i="1"/>
  <c r="G627" i="1" s="1"/>
  <c r="J627" i="1" s="1"/>
  <c r="C36" i="10"/>
  <c r="C63" i="2"/>
  <c r="C104" i="2" s="1"/>
  <c r="D31" i="13"/>
  <c r="C31" i="13" s="1"/>
  <c r="I461" i="1"/>
  <c r="H642" i="1" s="1"/>
  <c r="J642" i="1" s="1"/>
  <c r="G660" i="1"/>
  <c r="G664" i="1" s="1"/>
  <c r="G667" i="1" s="1"/>
  <c r="C25" i="13"/>
  <c r="I33" i="13"/>
  <c r="K552" i="1"/>
  <c r="C28" i="10"/>
  <c r="D23" i="10" s="1"/>
  <c r="H24" i="14"/>
  <c r="I24" i="14" s="1"/>
  <c r="C51" i="2"/>
  <c r="G631" i="1"/>
  <c r="J631" i="1" s="1"/>
  <c r="J646" i="1"/>
  <c r="G193" i="1"/>
  <c r="G628" i="1" s="1"/>
  <c r="J628" i="1" s="1"/>
  <c r="G626" i="1"/>
  <c r="J626" i="1" s="1"/>
  <c r="J52" i="1"/>
  <c r="H621" i="1" s="1"/>
  <c r="J621" i="1" s="1"/>
  <c r="C38" i="10"/>
  <c r="H667" i="1" l="1"/>
  <c r="H672" i="1"/>
  <c r="C6" i="10" s="1"/>
  <c r="G672" i="1"/>
  <c r="C5" i="10" s="1"/>
  <c r="I660" i="1"/>
  <c r="I664" i="1" s="1"/>
  <c r="I672" i="1" s="1"/>
  <c r="C7"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<sst xmlns="http://schemas.openxmlformats.org/spreadsheetml/2006/main" count="5508" uniqueCount="1614">
  <si>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</si>
  <si>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</si>
  <si>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</si>
  <si>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</si>
  <si>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</si>
  <si>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</si>
  <si>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</si>
  <si>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</si>
  <si>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</si>
  <si>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</si>
  <si>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</si>
  <si>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</si>
  <si>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</si>
  <si>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</si>
  <si>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</si>
  <si>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</si>
  <si>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</si>
  <si>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</si>
  <si>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</si>
  <si>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</si>
  <si>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</si>
  <si>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</si>
  <si>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</si>
  <si>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</si>
  <si>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</si>
  <si>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</si>
  <si>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</si>
  <si>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</si>
  <si>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</si>
  <si>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</si>
  <si>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</si>
  <si>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</si>
  <si>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</si>
  <si>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</si>
  <si>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</si>
  <si>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</si>
  <si>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</si>
  <si>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</si>
  <si>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</si>
  <si>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</si>
  <si>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</si>
  <si>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</si>
  <si>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</si>
  <si>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</si>
  <si>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</si>
  <si>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</si>
  <si>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</si>
  <si>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</si>
  <si>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</si>
  <si>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</si>
  <si>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</si>
  <si>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</si>
  <si>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</si>
  <si>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</si>
  <si>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</si>
  <si>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</si>
  <si>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</si>
  <si>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</si>
  <si>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</si>
  <si>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</si>
  <si>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</si>
  <si>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</si>
  <si>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</si>
  <si>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</si>
  <si>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</si>
  <si>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</si>
  <si>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</si>
  <si>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</si>
  <si>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</si>
  <si>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</si>
  <si>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</si>
  <si>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</si>
  <si>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</si>
  <si>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</si>
  <si>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</si>
  <si>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</si>
  <si>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</si>
  <si>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</si>
  <si>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</si>
  <si>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</si>
  <si>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</si>
  <si>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</si>
  <si>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</si>
  <si>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</si>
  <si>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</si>
  <si>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</si>
  <si>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</si>
  <si>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</si>
  <si>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</si>
  <si>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</si>
  <si>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</si>
  <si>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</si>
  <si>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</si>
  <si>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</si>
  <si>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</si>
  <si>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</si>
  <si>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</si>
  <si>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</si>
  <si>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</si>
  <si>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</si>
  <si>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</si>
  <si>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</si>
  <si>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</si>
  <si>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</si>
  <si>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</si>
  <si>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</si>
  <si>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</si>
  <si>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</si>
  <si>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</si>
  <si>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</si>
  <si>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</si>
  <si>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</si>
  <si>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</si>
  <si>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</si>
  <si>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</si>
  <si>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</si>
  <si>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</si>
  <si>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</si>
  <si>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</si>
  <si>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</si>
  <si>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</si>
  <si>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</si>
  <si>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</si>
  <si>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</si>
  <si>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</si>
  <si>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</si>
  <si>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</si>
  <si>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</si>
  <si>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</si>
  <si>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</si>
  <si>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</si>
  <si>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</si>
  <si>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</si>
  <si>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</si>
  <si>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</si>
  <si>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</si>
  <si>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</si>
  <si>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</si>
  <si>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</si>
  <si>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</si>
  <si>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</si>
  <si>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</si>
  <si>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</si>
  <si>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</si>
  <si>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</si>
  <si>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</si>
  <si>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</si>
  <si>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</si>
  <si>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</si>
  <si>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</si>
  <si>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</si>
  <si>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</si>
  <si>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</si>
  <si>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</si>
  <si>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</si>
  <si>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</si>
  <si>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</si>
  <si>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</si>
  <si>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</si>
  <si>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</si>
  <si>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</si>
  <si>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</si>
  <si>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</si>
  <si>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</si>
  <si>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</si>
  <si>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</si>
  <si>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</si>
  <si>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</si>
  <si>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</si>
  <si>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</si>
  <si>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</si>
  <si>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</si>
  <si>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</si>
  <si>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</si>
  <si>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</si>
  <si>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</si>
  <si>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</si>
  <si>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</si>
  <si>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</si>
  <si>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</si>
  <si>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</si>
  <si>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</si>
  <si>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</si>
  <si>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</si>
  <si>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</si>
  <si>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</si>
  <si>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</si>
  <si>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</si>
  <si>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</si>
  <si>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</si>
  <si>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</si>
  <si>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</si>
  <si>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</si>
  <si>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</si>
  <si>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</si>
  <si>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</si>
  <si>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</si>
  <si>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</si>
  <si>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</si>
  <si>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</si>
  <si>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</si>
  <si>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</si>
  <si>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</si>
  <si>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</si>
  <si>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</si>
  <si>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</si>
  <si>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</si>
  <si>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</si>
  <si>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</si>
  <si>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</si>
  <si>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</si>
  <si>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</si>
  <si>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</si>
  <si>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</si>
  <si>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</si>
  <si>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</si>
  <si>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</si>
  <si>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</si>
  <si>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</si>
  <si>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</si>
  <si>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</si>
  <si>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</si>
  <si>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</si>
  <si>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</si>
  <si>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</si>
  <si>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</si>
  <si>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</si>
  <si>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</si>
  <si>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</si>
  <si>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</si>
  <si>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</si>
  <si>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</si>
  <si>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</si>
  <si>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</si>
  <si>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</si>
  <si>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</si>
  <si>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</si>
  <si>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</si>
  <si>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</si>
  <si>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</si>
  <si>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</si>
  <si>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</si>
  <si>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</si>
  <si>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</si>
  <si>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</si>
  <si>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</si>
  <si>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</si>
  <si>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</si>
  <si>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</si>
  <si>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</si>
  <si>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</si>
  <si>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</si>
  <si>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</si>
  <si>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</si>
  <si>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</si>
  <si>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</si>
  <si>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</si>
  <si>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</si>
  <si>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</si>
  <si>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</si>
  <si>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</si>
  <si>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</si>
  <si>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</si>
  <si>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</si>
  <si>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</si>
  <si>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</si>
  <si>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</si>
  <si>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</si>
  <si>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</si>
  <si>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</si>
  <si>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</si>
  <si>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</si>
  <si>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</si>
  <si>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</si>
  <si>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</si>
  <si>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</si>
  <si>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</si>
  <si>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</si>
  <si>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</si>
  <si>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</si>
  <si>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</si>
  <si>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</si>
  <si>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</si>
  <si>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</si>
  <si>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</si>
  <si>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</si>
  <si>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</si>
  <si>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</si>
  <si>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</si>
  <si>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</si>
  <si>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</si>
  <si>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</si>
  <si>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</si>
  <si>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</si>
  <si>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</si>
  <si>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</si>
  <si>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</si>
  <si>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</si>
  <si>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</si>
  <si>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</si>
  <si>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</si>
  <si>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</si>
  <si>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</si>
  <si>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</si>
  <si>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</si>
  <si>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</si>
  <si>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</si>
  <si>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</si>
  <si>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</si>
  <si>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</si>
  <si>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</si>
  <si>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</si>
  <si>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</si>
  <si>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</si>
  <si>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</si>
  <si>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</si>
  <si>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</si>
  <si>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</si>
  <si>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</si>
  <si>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</si>
  <si>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</si>
  <si>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</si>
  <si>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</si>
  <si>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</si>
  <si>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</si>
  <si>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</si>
  <si>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</si>
  <si>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</si>
  <si>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</si>
  <si>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</si>
  <si>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</si>
  <si>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</si>
  <si>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</si>
  <si>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</si>
  <si>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</si>
  <si>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</si>
  <si>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</si>
  <si>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</si>
  <si>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</si>
  <si>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</si>
  <si>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</si>
  <si>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</si>
  <si>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</si>
  <si>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</si>
  <si>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</si>
  <si>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</si>
  <si>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</si>
  <si>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</si>
  <si>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</si>
  <si>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</si>
  <si>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</si>
  <si>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</si>
  <si>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</si>
  <si>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</si>
  <si>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</si>
  <si>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</si>
  <si>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</si>
  <si>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</si>
  <si>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</si>
  <si>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</si>
  <si>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</si>
  <si>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</si>
  <si>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</si>
  <si>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</si>
  <si>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</si>
  <si>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</si>
  <si>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</si>
  <si>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</si>
  <si>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</si>
  <si>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</si>
  <si>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</si>
  <si>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</si>
  <si>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</si>
  <si>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</si>
  <si>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</si>
  <si>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</si>
  <si>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</si>
  <si>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</si>
  <si>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</si>
  <si>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</si>
  <si>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</si>
  <si>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</si>
  <si>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</si>
  <si>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</si>
  <si>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</si>
  <si>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</si>
  <si>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</si>
  <si>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</si>
  <si>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</si>
  <si>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</si>
  <si>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</si>
  <si>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</si>
  <si>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</si>
  <si>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</si>
  <si>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</si>
  <si>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</si>
  <si>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</si>
  <si>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</si>
  <si>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</si>
  <si>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</si>
  <si>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</si>
  <si>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</si>
  <si>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</si>
  <si>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</si>
  <si>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</si>
  <si>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</si>
  <si>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</si>
  <si>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</si>
  <si>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</si>
  <si>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</si>
  <si>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</si>
  <si>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</si>
  <si>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</si>
  <si>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</si>
  <si>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</si>
  <si>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</si>
  <si>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</si>
  <si>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</si>
  <si>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</si>
  <si>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</si>
  <si>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</si>
  <si>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</si>
  <si>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</si>
  <si>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</si>
  <si>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</si>
  <si>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</si>
  <si>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</si>
  <si>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</si>
  <si>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</si>
  <si>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</si>
  <si>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</si>
  <si>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</si>
  <si>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</si>
  <si>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</si>
  <si>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</si>
  <si>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</si>
  <si>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</si>
  <si>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</si>
  <si>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</si>
  <si>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</si>
  <si>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</si>
  <si>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</si>
  <si>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</si>
  <si>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</si>
  <si>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</si>
  <si>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</si>
  <si>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</si>
  <si>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</si>
  <si>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</si>
  <si>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</si>
  <si>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</si>
  <si>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</si>
  <si>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</si>
  <si>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</si>
  <si>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</si>
  <si>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</si>
  <si>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</si>
  <si>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</si>
  <si>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</si>
  <si>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</si>
  <si>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</si>
  <si>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</si>
  <si>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</si>
  <si>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</si>
  <si>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</si>
  <si>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</si>
  <si>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</si>
  <si>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</si>
  <si>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</si>
  <si>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</si>
  <si>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</si>
  <si>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</si>
  <si>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</si>
  <si>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</si>
  <si>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</si>
  <si>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</si>
  <si>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</si>
  <si>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</si>
  <si>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</si>
  <si>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</si>
  <si>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</si>
  <si>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</si>
  <si>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</si>
  <si>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</si>
  <si>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</si>
  <si>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</si>
  <si>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</si>
  <si>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</si>
  <si>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</si>
  <si>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</si>
  <si>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</si>
  <si>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</si>
  <si>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</si>
  <si>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</si>
  <si>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</si>
  <si>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</si>
  <si>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</si>
  <si>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</si>
  <si>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</si>
  <si>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</si>
  <si>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</si>
  <si>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</si>
  <si>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</si>
  <si>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</si>
  <si>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</si>
  <si>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</si>
  <si>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</si>
  <si>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</si>
  <si>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</si>
  <si>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</si>
  <si>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</si>
  <si>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</si>
  <si>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</si>
  <si>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</si>
  <si>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</si>
  <si>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</si>
  <si>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</si>
  <si>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</si>
  <si>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</si>
  <si>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</si>
  <si>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</si>
  <si>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</si>
  <si>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</si>
  <si>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</si>
  <si>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</si>
  <si>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</si>
  <si>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</si>
  <si>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</si>
  <si>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</si>
  <si>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</si>
  <si>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</si>
  <si>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</si>
  <si>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</si>
  <si>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</si>
  <si>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</si>
  <si>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</si>
  <si>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</si>
  <si>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</si>
  <si>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</si>
  <si>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</si>
  <si>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</si>
  <si>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</si>
  <si>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</si>
  <si>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</si>
  <si>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</si>
  <si>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</si>
  <si>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</si>
  <si>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</si>
  <si>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</si>
  <si>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</si>
  <si>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</si>
  <si>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</si>
  <si>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</si>
  <si>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</si>
  <si>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</si>
  <si>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</si>
  <si>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</si>
  <si>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</si>
  <si>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</si>
  <si>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</si>
  <si>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</si>
  <si>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</si>
  <si>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</si>
  <si>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</si>
  <si>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</si>
  <si>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</si>
  <si>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</si>
  <si>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</si>
  <si>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</si>
  <si>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</si>
  <si>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</si>
  <si>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</si>
  <si>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</si>
  <si>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</si>
  <si>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</si>
  <si>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</si>
  <si>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</si>
  <si>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</si>
  <si>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</si>
  <si>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</si>
  <si>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</si>
  <si>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</si>
  <si>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</si>
  <si>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</si>
  <si>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</si>
  <si>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</si>
  <si>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</si>
  <si>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</si>
  <si>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</si>
  <si>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</si>
  <si>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</si>
  <si>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</si>
  <si>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</si>
  <si>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</si>
  <si>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</si>
  <si>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</si>
  <si>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</si>
  <si>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</si>
  <si>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</si>
  <si>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</si>
  <si>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</si>
  <si>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</si>
  <si>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</si>
  <si>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</si>
  <si>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</si>
  <si>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</si>
  <si>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</si>
  <si>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</si>
  <si>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</si>
  <si>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</si>
  <si>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</si>
  <si>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</si>
  <si>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</si>
  <si>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</si>
  <si>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</si>
  <si>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</si>
  <si>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</si>
  <si>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</si>
  <si>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</si>
  <si>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</si>
  <si>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</si>
  <si>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</si>
  <si>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</si>
  <si>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</si>
  <si>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</si>
  <si>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</si>
  <si>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</si>
  <si>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</si>
  <si>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</si>
  <si>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</si>
  <si>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</si>
  <si>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</si>
  <si>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</si>
  <si>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</si>
  <si>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</si>
  <si>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</si>
  <si>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</si>
  <si>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</si>
  <si>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</si>
  <si>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</si>
  <si>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</si>
  <si>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</si>
  <si>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</si>
  <si>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</si>
  <si>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</si>
  <si>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</si>
  <si>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</si>
  <si>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</si>
  <si>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</si>
  <si>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</si>
  <si>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</si>
  <si>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</si>
  <si>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</si>
  <si>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</si>
  <si>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</si>
  <si>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</si>
  <si>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</si>
  <si>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</si>
  <si>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</si>
  <si>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</si>
  <si>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</si>
  <si>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</si>
  <si>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</si>
  <si>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</si>
  <si>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</si>
  <si>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</si>
  <si>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</si>
  <si>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</si>
  <si>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</si>
  <si>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</si>
  <si>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</si>
  <si>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</si>
  <si>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</si>
  <si>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</si>
  <si>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</si>
  <si>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</si>
  <si>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</si>
  <si>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</si>
  <si>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</si>
  <si>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</si>
  <si>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</si>
  <si>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</si>
  <si>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</si>
  <si>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</si>
  <si>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</si>
  <si>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</si>
  <si>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</si>
  <si>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</si>
  <si>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</si>
  <si>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</si>
  <si>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</si>
  <si>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</si>
  <si>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</si>
  <si>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</si>
  <si>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</si>
  <si>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</si>
  <si>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</si>
  <si>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</si>
  <si>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</si>
  <si>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</si>
  <si>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</si>
  <si>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</si>
  <si>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</si>
  <si>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</si>
  <si>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</si>
  <si>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</si>
  <si>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</si>
  <si>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</si>
  <si>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</si>
  <si>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</si>
  <si>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</si>
  <si>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</si>
  <si>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</si>
  <si>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</si>
  <si>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</si>
  <si>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</si>
  <si>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</si>
  <si>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</si>
  <si>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</si>
  <si>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</si>
  <si>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</si>
  <si>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</si>
  <si>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</si>
  <si>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</si>
  <si>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</si>
  <si>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</si>
  <si>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</si>
  <si>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</si>
  <si>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</si>
  <si>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</si>
  <si>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</si>
  <si>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</si>
  <si>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</si>
  <si>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</si>
  <si>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</si>
  <si>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</si>
  <si>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</si>
  <si>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</si>
  <si>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</si>
  <si>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</si>
  <si>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</si>
  <si>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</si>
  <si>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</si>
  <si>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</si>
  <si>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</si>
  <si>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</si>
  <si>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</si>
  <si>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</si>
  <si>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</si>
  <si>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</si>
  <si>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</si>
  <si>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</si>
  <si>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</si>
  <si>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</si>
  <si>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</si>
  <si>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</si>
  <si>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</si>
  <si>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</si>
  <si>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</si>
  <si>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</si>
  <si>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</si>
  <si>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</si>
  <si>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</si>
  <si>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</si>
  <si>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</si>
  <si>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</si>
  <si>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</si>
  <si>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</si>
  <si>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</si>
  <si>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</si>
  <si>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</si>
  <si>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</si>
  <si>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</si>
  <si>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</si>
  <si>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</si>
  <si>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</si>
  <si>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</si>
  <si>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</si>
  <si>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</si>
  <si>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</si>
  <si>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</si>
  <si>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</si>
  <si>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</si>
  <si>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</si>
  <si>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</si>
  <si>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</si>
  <si>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</si>
  <si>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</si>
  <si>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</si>
  <si>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</si>
  <si>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</si>
  <si>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</si>
  <si>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</si>
  <si>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</si>
  <si>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</si>
  <si>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</si>
  <si>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</si>
  <si>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</si>
  <si>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</si>
  <si>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</si>
  <si>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</si>
  <si>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</si>
  <si>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</si>
  <si>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</si>
  <si>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</si>
  <si>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</si>
  <si>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</si>
  <si>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</si>
  <si>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</si>
  <si>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</si>
  <si>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</si>
  <si>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</si>
  <si>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</si>
  <si>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</si>
  <si>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</si>
  <si>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</si>
  <si>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</si>
  <si>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</si>
  <si>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</si>
  <si>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</si>
  <si>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</si>
  <si>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</si>
  <si>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</si>
  <si>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</si>
  <si>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</si>
  <si>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</si>
  <si>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</si>
  <si>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</si>
  <si>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</si>
  <si>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</si>
  <si>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</si>
  <si>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</si>
  <si>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</si>
  <si>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</si>
  <si>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</si>
  <si>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</si>
  <si>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</si>
  <si>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</si>
  <si>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</si>
  <si>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</si>
  <si>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</si>
  <si>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</si>
  <si>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</si>
  <si>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</si>
  <si>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</si>
  <si>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</si>
  <si>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</si>
  <si>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</si>
  <si>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</si>
  <si>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</si>
  <si>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</si>
  <si>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</si>
  <si>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</si>
  <si>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</si>
  <si>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</si>
  <si>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</si>
  <si>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</si>
  <si>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</si>
  <si>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</si>
  <si>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</si>
  <si>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</si>
  <si>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</si>
  <si>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</si>
  <si>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</si>
  <si>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</si>
  <si>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</si>
  <si>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</si>
  <si>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</si>
  <si>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</si>
  <si>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</si>
  <si>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</si>
  <si>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</si>
  <si>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</si>
  <si>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</si>
  <si>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</si>
  <si>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</si>
  <si>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</si>
  <si>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</si>
  <si>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</si>
  <si>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</si>
  <si>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</si>
  <si>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</si>
  <si>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</si>
  <si>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</si>
  <si>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</si>
  <si>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</si>
  <si>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</si>
  <si>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</si>
  <si>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</si>
  <si>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</si>
  <si>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</si>
  <si>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</si>
  <si>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</si>
  <si>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</si>
  <si>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</si>
  <si>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</si>
  <si>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</si>
  <si>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</si>
  <si>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</si>
  <si>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</si>
  <si>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</si>
  <si>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</si>
  <si>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</si>
  <si>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</si>
  <si>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</si>
  <si>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</si>
  <si>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</si>
  <si>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</si>
  <si>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</si>
  <si>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</si>
  <si>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</si>
  <si>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</si>
  <si>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</si>
  <si>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</si>
  <si>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</si>
  <si>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</si>
  <si>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</si>
  <si>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</si>
  <si>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</si>
  <si>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</si>
  <si>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</si>
  <si>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</si>
  <si>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</si>
  <si>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</si>
  <si>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</si>
  <si>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</si>
  <si>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</si>
  <si>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</si>
  <si>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</si>
  <si>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</si>
  <si>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</si>
  <si>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</si>
  <si>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</si>
  <si>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</si>
  <si>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</si>
  <si>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</si>
  <si>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</si>
  <si>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</si>
  <si>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</si>
  <si>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</si>
  <si>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</si>
  <si>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</si>
  <si>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</si>
  <si>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</si>
  <si>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</si>
  <si>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</si>
  <si>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</si>
  <si>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</si>
  <si>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</si>
  <si>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</si>
  <si>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</si>
  <si>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</si>
  <si>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</si>
  <si>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</si>
  <si>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</si>
  <si>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</si>
  <si>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</si>
  <si>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</si>
  <si>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</si>
  <si>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</si>
  <si>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</si>
  <si>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</si>
  <si>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</si>
  <si>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</si>
  <si>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</si>
  <si>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</si>
  <si>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</si>
  <si>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</si>
  <si>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</si>
  <si>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</si>
  <si>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</si>
  <si>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</si>
  <si>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</si>
  <si>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</si>
  <si>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</si>
  <si>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</si>
  <si>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</si>
  <si>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</si>
  <si>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</si>
  <si>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</si>
  <si>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</si>
  <si>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</si>
  <si>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</si>
  <si>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</si>
  <si>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</si>
  <si>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</si>
  <si>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</si>
  <si>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</si>
  <si>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</si>
  <si>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</si>
  <si>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</si>
  <si>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</si>
  <si>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</si>
  <si>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</si>
  <si>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</si>
  <si>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</si>
  <si>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</si>
  <si>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</si>
  <si>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</si>
  <si>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</si>
  <si>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</si>
  <si>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</si>
  <si>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</si>
  <si>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</si>
  <si>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</si>
  <si>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</si>
  <si>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</si>
  <si>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</si>
  <si>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</si>
  <si>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</si>
  <si>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</si>
  <si>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</si>
  <si>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</si>
  <si>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</si>
  <si>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</si>
  <si>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</si>
  <si>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</si>
  <si>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</si>
  <si>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</si>
  <si>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</si>
  <si>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</si>
  <si>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</si>
  <si>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</si>
  <si>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</si>
  <si>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</si>
  <si>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</si>
  <si>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</si>
  <si>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</si>
  <si>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</si>
  <si>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</si>
  <si>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</si>
  <si>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</si>
  <si>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</si>
  <si>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</si>
  <si>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</si>
  <si>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</si>
  <si>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</si>
  <si>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</si>
  <si>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</si>
  <si>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</si>
  <si>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</si>
  <si>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</si>
  <si>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</si>
  <si>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</si>
  <si>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</si>
  <si>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</si>
  <si>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</si>
  <si>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</si>
  <si>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</si>
  <si>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</si>
  <si>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</si>
  <si>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</si>
  <si>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</si>
  <si>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</si>
  <si>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</si>
  <si>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</si>
  <si>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</si>
  <si>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</si>
  <si>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</si>
  <si>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</si>
  <si>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</si>
  <si>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</si>
  <si>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</si>
  <si>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</si>
  <si>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</si>
  <si>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</si>
  <si>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</si>
  <si>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</si>
  <si>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</si>
  <si>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</si>
  <si>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</si>
  <si>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</si>
  <si>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</si>
  <si>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</si>
  <si>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</si>
  <si>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</si>
  <si>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</si>
  <si>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</si>
  <si>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</si>
  <si>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</si>
  <si>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</si>
  <si>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</si>
  <si>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</si>
  <si>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</si>
  <si>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</si>
  <si>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</si>
  <si>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</si>
  <si>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</si>
  <si>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</si>
  <si>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</si>
  <si>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</si>
  <si>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</si>
  <si>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</si>
  <si>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</si>
  <si>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</si>
  <si>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</si>
  <si>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</si>
  <si>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</si>
  <si>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</si>
  <si>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</si>
  <si>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</si>
  <si>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</si>
  <si>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</si>
  <si>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</si>
  <si>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</si>
  <si>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</si>
  <si>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</si>
  <si>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</si>
  <si>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</si>
  <si>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</si>
  <si>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</si>
  <si>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</si>
  <si>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</si>
  <si>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</si>
  <si>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</si>
  <si>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</si>
  <si>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</si>
  <si>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</si>
  <si>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</si>
  <si>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</si>
  <si>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</si>
  <si>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</si>
  <si>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</si>
  <si>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</si>
  <si>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</si>
  <si>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</si>
  <si>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</si>
  <si>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</si>
  <si>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</si>
  <si>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</si>
  <si>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</si>
  <si>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</si>
  <si>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</si>
  <si>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</si>
  <si>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</si>
  <si>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</si>
  <si>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</si>
  <si>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</si>
  <si>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</si>
  <si>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</si>
  <si>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</si>
  <si>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</si>
  <si>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</si>
  <si>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</si>
  <si>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</si>
  <si>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</si>
  <si>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</si>
  <si>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</si>
  <si>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</si>
  <si>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</si>
  <si>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</si>
  <si>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</si>
  <si>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</si>
  <si>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</si>
  <si>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</si>
  <si>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</si>
  <si>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</si>
  <si>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</si>
  <si>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</si>
  <si>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</si>
  <si>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</si>
  <si>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</si>
  <si>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</si>
  <si>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</si>
  <si>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</si>
  <si>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</si>
  <si>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</si>
  <si>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</si>
  <si>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</si>
  <si>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</si>
  <si>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</si>
  <si>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</si>
  <si>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</si>
  <si>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</si>
  <si>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</si>
  <si>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</si>
  <si>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</si>
  <si>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</si>
  <si>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</si>
  <si>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</si>
  <si>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</si>
  <si>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</si>
  <si>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</si>
  <si>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</si>
  <si>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</si>
  <si>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</si>
  <si>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</si>
  <si>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</si>
  <si>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</si>
  <si>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</si>
  <si>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</si>
  <si>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</si>
  <si>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</si>
  <si>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</si>
  <si>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</si>
  <si>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</si>
  <si>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</si>
  <si>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</si>
  <si>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</si>
  <si>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</si>
  <si>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</si>
  <si>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</si>
  <si>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</si>
  <si>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</si>
  <si>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</si>
  <si>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</si>
  <si>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</si>
  <si>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</si>
  <si>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</si>
  <si>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</si>
  <si>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</si>
  <si>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</si>
  <si>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</si>
  <si>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</si>
  <si>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</si>
  <si>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</si>
  <si>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</si>
  <si>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</si>
  <si>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</si>
  <si>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</si>
  <si>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</si>
  <si>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</si>
  <si>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</si>
  <si>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</si>
  <si>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</si>
  <si>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</si>
  <si>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</si>
  <si>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</si>
  <si>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</si>
  <si>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</si>
  <si>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</si>
  <si>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</si>
  <si>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</si>
  <si>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</si>
  <si>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</si>
  <si>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</si>
  <si>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</si>
  <si>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</si>
  <si>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</si>
  <si>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</si>
  <si>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</si>
  <si>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</si>
  <si>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</si>
  <si>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</si>
  <si>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</si>
  <si>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</si>
  <si>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</si>
  <si>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</si>
  <si>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</si>
  <si>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</si>
  <si>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</si>
  <si>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</si>
  <si>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</si>
  <si>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</si>
  <si>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</si>
  <si>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</si>
  <si>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</si>
  <si>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</si>
  <si>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</si>
  <si>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</si>
  <si>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</si>
  <si>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</si>
  <si>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</si>
  <si>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</si>
  <si>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</si>
  <si>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</si>
  <si>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</si>
  <si>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</si>
  <si>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</si>
  <si>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</si>
  <si>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</si>
  <si>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</si>
  <si>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</si>
  <si>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</si>
  <si>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</si>
  <si>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</si>
  <si>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</si>
  <si>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</si>
  <si>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</si>
  <si>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</si>
  <si>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</si>
  <si>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</si>
  <si>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</si>
  <si>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</si>
  <si>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</si>
  <si>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</si>
  <si>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</si>
  <si>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</si>
  <si>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</si>
  <si>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</si>
  <si>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</si>
  <si>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</si>
  <si>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</si>
  <si>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</si>
  <si>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</si>
  <si>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</si>
  <si>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</si>
  <si>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</si>
  <si>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</si>
  <si>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</si>
  <si>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</si>
  <si>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</si>
  <si>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</si>
  <si>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</si>
  <si>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</si>
  <si>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</si>
  <si>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</si>
  <si>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</si>
  <si>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</si>
  <si>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</si>
  <si>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</si>
  <si>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</si>
  <si>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</si>
  <si>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</si>
  <si>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</si>
  <si>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</si>
  <si>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</si>
  <si>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</si>
  <si>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</si>
  <si>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</si>
  <si>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</si>
  <si>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</si>
  <si>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</si>
  <si>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</si>
  <si>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</si>
  <si>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</si>
  <si>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</si>
  <si>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</si>
  <si>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</si>
  <si>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</si>
  <si>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</si>
  <si>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</si>
  <si>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</si>
  <si>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</si>
  <si>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</si>
  <si>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</si>
  <si>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</si>
  <si>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</si>
  <si>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</si>
  <si>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</si>
  <si>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</si>
  <si>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</si>
  <si>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</si>
  <si>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</si>
  <si>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</si>
  <si>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</si>
  <si>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</si>
  <si>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</si>
  <si>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</si>
  <si>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</si>
  <si>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</si>
  <si>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</si>
  <si>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</si>
  <si>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</si>
  <si>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</si>
  <si>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</si>
  <si>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</si>
  <si>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</si>
  <si>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</si>
  <si>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</si>
  <si>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</si>
  <si>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</si>
  <si>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</si>
  <si>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</si>
  <si>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</si>
  <si>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</si>
  <si>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</si>
  <si>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</si>
  <si>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</si>
  <si>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</si>
  <si>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</si>
  <si>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</si>
  <si>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</si>
  <si>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</si>
  <si>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</si>
  <si>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</si>
  <si>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</si>
  <si>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</si>
  <si>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</si>
  <si>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</si>
  <si>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</si>
  <si>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</si>
  <si>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</si>
  <si>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</si>
  <si>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</si>
  <si>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</si>
  <si>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</si>
  <si>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</si>
  <si>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</si>
  <si>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</si>
  <si>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</si>
  <si>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</si>
  <si>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</si>
  <si>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</si>
  <si>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</si>
  <si>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</si>
  <si>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</si>
  <si>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</si>
  <si>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</si>
  <si>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</si>
  <si>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</si>
  <si>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</si>
  <si>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</si>
  <si>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</si>
  <si>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</si>
  <si>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</si>
  <si>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</si>
  <si>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</si>
  <si>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</si>
  <si>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</si>
  <si>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</si>
  <si>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</si>
  <si>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</si>
  <si>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</si>
  <si>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</si>
  <si>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</si>
  <si>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</si>
  <si>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</si>
  <si>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</si>
  <si>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</si>
  <si>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</si>
  <si>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</si>
  <si>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</si>
  <si>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</si>
  <si>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</si>
  <si>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</si>
  <si>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</si>
  <si>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</si>
  <si>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</si>
  <si>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</si>
  <si>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</si>
  <si>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</si>
  <si>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</si>
  <si>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</si>
  <si>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</si>
  <si>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</si>
  <si>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</si>
  <si>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</si>
  <si>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</si>
  <si>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</si>
  <si>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</si>
  <si>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</si>
  <si>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</si>
  <si>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</si>
  <si>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</si>
  <si>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</si>
  <si>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</si>
  <si>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</si>
  <si>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</si>
  <si>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</si>
  <si>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</si>
  <si>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</si>
  <si>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</si>
  <si>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</si>
  <si>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</si>
  <si>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</si>
  <si>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</si>
  <si>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</si>
  <si>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</si>
  <si>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</si>
  <si>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</si>
  <si>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</si>
  <si>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</si>
  <si>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</si>
  <si>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</si>
  <si>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</si>
  <si>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</si>
  <si>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</si>
  <si>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</si>
  <si>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</si>
  <si>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</si>
  <si>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</si>
  <si>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</si>
  <si>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</si>
  <si>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</si>
  <si>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</si>
  <si>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</si>
  <si>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</si>
  <si>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</si>
  <si>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</si>
  <si>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</si>
  <si>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</si>
  <si>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</si>
  <si>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</si>
  <si>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</si>
  <si>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</si>
  <si>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</si>
  <si>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</si>
  <si>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</si>
  <si>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</si>
  <si>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</si>
  <si>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</si>
  <si>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</si>
  <si>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</si>
  <si>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</si>
  <si>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</si>
  <si>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</si>
  <si>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</si>
  <si>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</si>
  <si>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</si>
  <si>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</si>
  <si>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</si>
  <si>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</si>
  <si>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</si>
  <si>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</si>
  <si>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</si>
  <si>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</si>
  <si>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</si>
  <si>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</si>
  <si>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</si>
  <si>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</si>
  <si>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</si>
  <si>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</si>
  <si>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</si>
  <si>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</si>
  <si>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</si>
  <si>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</si>
  <si>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</si>
  <si>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</si>
  <si>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</si>
  <si>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</si>
  <si>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</si>
  <si>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</si>
  <si>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</si>
  <si>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</si>
  <si>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</si>
  <si>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</si>
  <si>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</si>
  <si>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</si>
  <si>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</si>
  <si>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</si>
  <si>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</si>
  <si>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</si>
  <si>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</si>
  <si>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</si>
  <si>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</si>
  <si>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</si>
  <si>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</si>
  <si>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</si>
  <si>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</si>
  <si>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</si>
  <si>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</si>
  <si>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</si>
  <si>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</si>
  <si>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</si>
  <si>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</si>
  <si>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</si>
  <si>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</si>
  <si>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</si>
  <si>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</si>
  <si>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</si>
  <si>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</si>
  <si>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</si>
  <si>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</si>
  <si>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</si>
  <si>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</si>
  <si>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</si>
  <si>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</si>
  <si>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</si>
  <si>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</si>
  <si>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</si>
  <si>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</si>
  <si>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</si>
  <si>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</si>
  <si>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</si>
  <si>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</si>
  <si>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</si>
  <si>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</si>
  <si>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</si>
  <si>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</si>
  <si>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</si>
  <si>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</si>
  <si>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</si>
  <si>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</si>
  <si>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</si>
  <si>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</si>
  <si>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</si>
  <si>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</si>
  <si>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</si>
  <si>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</si>
  <si>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</si>
  <si>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</si>
  <si>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</si>
  <si>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</si>
  <si>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</si>
  <si>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</si>
  <si>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</si>
  <si>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</si>
  <si>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</si>
  <si>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</si>
  <si>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</si>
  <si>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</si>
  <si>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</si>
  <si>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</si>
  <si>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</si>
  <si>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</si>
  <si>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</si>
  <si>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</si>
  <si>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</si>
  <si>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</si>
  <si>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</si>
  <si>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</si>
  <si>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</si>
  <si>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</si>
  <si>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</si>
  <si>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</si>
  <si>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</si>
  <si>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</si>
  <si>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</si>
  <si>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</si>
  <si>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NORTH HAMPTON</t>
  </si>
  <si>
    <t>August 2013</t>
  </si>
  <si>
    <t>August 2023</t>
  </si>
  <si>
    <t>PREPAID EXPENSE -NAT GAS CONV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</si>
</sst>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405</v>
      </c>
      <c r="C2" s="21">
        <v>405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341170.77+133.61</f>
        <v>341304.38</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515655.75</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10609.09</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12964.57</v>
      </c>
      <c r="G13" s="18">
        <v>1172.6600000000001</v>
      </c>
      <c r="H13" s="18">
        <v>6352.21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2309.1</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6896.19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9291.15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376478.29000000004</v>
      </c>
      <c r="G19" s="41">
        <f>SUM(G9:G18)</f>
        <v>8068.8499999999995</v>
      </c>
      <c r="H19" s="41">
        <f>SUM(H9:H18)</f>
        <v>6352.21</v>
      </c>
      <c r="I19" s="41">
        <f>SUM(I9:I18)</f>
        <v>0</v>
      </c>
      <c r="J19" s="41">
        <f>SUM(J9:J18)</f>
        <v>515655.75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4257</v>
      </c>
      <c r="H23" s="18">
        <v>6352.21</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10610.89</v>
      </c>
      <c r="G24" s="18">
        <v>27</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6351.66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485.9+465.54</f>
        <v>951.44</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f>3785.3-0.45</f>
        <v>3784.8500000000004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17913.989999999998</v>
      </c>
      <c r="G32" s="41">
        <f>SUM(G22:G31)</f>
        <v>8068.85</v>
      </c>
      <c r="H32" s="41">
        <f>SUM(H22:H31)</f>
        <v>6352.21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6896.19</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9291.15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-6896.19</f>
        <v>-6896.19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12163.43</v>
      </c>
      <c r="G48" s="18"/>
      <c r="H48" s="18"/>
      <c r="I48" s="18"/>
      <c r="J48" s="13">
        <f>SUM(I459)</f>
        <v>515655.75</v>
      </c>
      <c r="K48" s="24" t="s">
        <v>288</v>
      </c>
      <c r="L48" s="24" t="s">
        <v>288</v>
      </c>
      <c r="M48" s="8"/>
      <c r="N48" s="266"/>
    </row>
    <row r="49" spans="1:14" s="3" customFormat="1" ht="12.2" customHeight="1" x14ac:dyDescent="0.15">
      <c r="A49" s="1" t="s">
        <v>859</v>
      </c>
      <c r="B49" s="2" t="s">
        <v>289</v>
      </c>
      <c r="C49" s="6">
        <v>34</v>
      </c>
      <c r="D49" s="2"/>
      <c r="E49" s="6">
        <v>753</v>
      </c>
      <c r="F49" s="18">
        <v>11432.72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150677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358564.3</v>
      </c>
      <c r="G51" s="41">
        <f>SUM(G35:G50)</f>
        <v>0</v>
      </c>
      <c r="H51" s="41">
        <f>SUM(H35:H50)</f>
        <v>0</v>
      </c>
      <c r="I51" s="41">
        <f>SUM(I35:I50)</f>
        <v>0</v>
      </c>
      <c r="J51" s="41">
        <f>SUM(J35:J50)</f>
        <v>515655.75</v>
      </c>
      <c r="K51" s="45" t="s">
        <v>288</v>
      </c>
      <c r="L51" s="45" t="s">
        <v>288</v>
      </c>
      <c r="N51" s="264"/>
    </row>
    <row r="52" spans="1:14" s="3" customFormat="1" ht="12.2" customHeight="1" thickTop="1" x14ac:dyDescent="0.15">
      <c r="A52" s="38" t="s">
        <v>455</v>
      </c>
      <c r="B52" s="39" t="s">
        <v>289</v>
      </c>
      <c r="C52" s="6">
        <v>37</v>
      </c>
      <c r="D52" s="39" t="s">
        <v>653</v>
      </c>
      <c r="E52" s="39"/>
      <c r="F52" s="41">
        <f>F51+F32</f>
        <v>376478.29</v>
      </c>
      <c r="G52" s="41">
        <f>G51+G32</f>
        <v>8068.85</v>
      </c>
      <c r="H52" s="41">
        <f>H51+H32</f>
        <v>6352.21</v>
      </c>
      <c r="I52" s="41">
        <f>I51+I32</f>
        <v>0</v>
      </c>
      <c r="J52" s="41">
        <f>J51+J32</f>
        <v>515655.75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7055709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7055709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49587</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15660</v>
      </c>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65247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7723.29</v>
      </c>
      <c r="G96" s="18"/>
      <c r="H96" s="18"/>
      <c r="I96" s="18"/>
      <c r="J96" s="18">
        <v>8391.7099999999991</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106984.06+1243.2</f>
        <v>108227.26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807.68</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25074.51</v>
      </c>
      <c r="G110" s="18">
        <v>2400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33605.479999999996</v>
      </c>
      <c r="G111" s="41">
        <f>SUM(G96:G110)</f>
        <v>110627.26</v>
      </c>
      <c r="H111" s="41">
        <f>SUM(H96:H110)</f>
        <v>0</v>
      </c>
      <c r="I111" s="41">
        <f>SUM(I96:I110)</f>
        <v>0</v>
      </c>
      <c r="J111" s="41">
        <f>SUM(J96:J110)</f>
        <v>8391.7099999999991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7154561.4800000004</v>
      </c>
      <c r="G112" s="41">
        <f>G60+G111</f>
        <v>110627.26</v>
      </c>
      <c r="H112" s="41">
        <f>H60+H79+H94+H111</f>
        <v>0</v>
      </c>
      <c r="I112" s="41">
        <f>I60+I111</f>
        <v>0</v>
      </c>
      <c r="J112" s="41">
        <f>J60+J111</f>
        <v>8391.7099999999991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1785626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841.12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1786467.12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39208.51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67968.990000000005</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2005.93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12000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119177.5</v>
      </c>
      <c r="G136" s="41">
        <f>SUM(G123:G135)</f>
        <v>2005.93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1905644.62</v>
      </c>
      <c r="G140" s="41">
        <f>G121+SUM(G136:G137)</f>
        <v>2005.93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26068.19</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286.7+21243.84</f>
        <v>21530.54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1686.35+10060.93+7837.68+3085.5</f>
        <v>22670.46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21642.67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5662.11+74125.44+156.08+2596.36</f>
        <v>82539.990000000005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55713.34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7141.25</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81781.53</v>
      </c>
      <c r="G162" s="41">
        <f>SUM(G150:G161)</f>
        <v>28783.919999999998</v>
      </c>
      <c r="H162" s="41">
        <f>SUM(H150:H161)</f>
        <v>126740.99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v>11944.75</v>
      </c>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81781.53</v>
      </c>
      <c r="G169" s="41">
        <f>G147+G162+SUM(G163:G168)</f>
        <v>40728.67</v>
      </c>
      <c r="H169" s="41">
        <f>H147+H162+SUM(H163:H168)</f>
        <v>126740.99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20960</v>
      </c>
      <c r="H179" s="18"/>
      <c r="I179" s="18"/>
      <c r="J179" s="18">
        <v>175000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20960</v>
      </c>
      <c r="H183" s="41">
        <f>SUM(H179:H182)</f>
        <v>0</v>
      </c>
      <c r="I183" s="41">
        <f>SUM(I179:I182)</f>
        <v>0</v>
      </c>
      <c r="J183" s="41">
        <f>SUM(J179:J182)</f>
        <v>175000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f>10661.24+150700</f>
        <v>161361.24</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161361.24</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161361.24</v>
      </c>
      <c r="G192" s="41">
        <f>G183+SUM(G188:G191)</f>
        <v>20960</v>
      </c>
      <c r="H192" s="41">
        <f>+H183+SUM(H188:H191)</f>
        <v>0</v>
      </c>
      <c r="I192" s="41">
        <f>I177+I183+SUM(I188:I191)</f>
        <v>0</v>
      </c>
      <c r="J192" s="41">
        <f>J183</f>
        <v>175000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9303348.870000001</v>
      </c>
      <c r="G193" s="47">
        <f>G112+G140+G169+G192</f>
        <v>174321.86</v>
      </c>
      <c r="H193" s="47">
        <f>H112+H140+H169+H192</f>
        <v>126740.99</v>
      </c>
      <c r="I193" s="47">
        <f>I112+I140+I169+I192</f>
        <v>0</v>
      </c>
      <c r="J193" s="47">
        <f>J112+J140+J192</f>
        <v>183391.71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2427831.76+3950</f>
        <v>2431781.7599999998</v>
      </c>
      <c r="G197" s="18">
        <f>384.66+1167036.57-0.01</f>
        <v>1167421.22</v>
      </c>
      <c r="H197" s="18">
        <f>13895.34+14894.59</f>
        <v>28789.93</v>
      </c>
      <c r="I197" s="18">
        <f>63059.56+151.04</f>
        <v>63210.6</v>
      </c>
      <c r="J197" s="18">
        <f>3001.5+8195</f>
        <v>11196.5</v>
      </c>
      <c r="K197" s="18"/>
      <c r="L197" s="19">
        <f>SUM(F197:K197)</f>
        <v>3702400.01</v>
      </c>
      <c r="M197" s="8"/>
      <c r="N197" s="266"/>
    </row>
    <row r="198" spans="1:14" s="3" customFormat="1" ht="12.2" customHeight="1" x14ac:dyDescent="0.15">
      <c r="A198" s="1" t="s">
        <v>439</v>
      </c>
      <c r="B198" s="2" t="s">
        <v>341</v>
      </c>
      <c r="C198" s="2" t="s">
        <v>291</v>
      </c>
      <c r="D198" s="2" t="s">
        <v>431</v>
      </c>
      <c r="E198" s="6">
        <v>1200</v>
      </c>
      <c r="F198" s="18">
        <v>1180785.05</v>
      </c>
      <c r="G198" s="18">
        <v>436957.54</v>
      </c>
      <c r="H198" s="18">
        <v>419284.54</v>
      </c>
      <c r="I198" s="18">
        <v>4308.75</v>
      </c>
      <c r="J198" s="18">
        <v>2202</v>
      </c>
      <c r="K198" s="18">
        <v>1239</v>
      </c>
      <c r="L198" s="19">
        <f>SUM(F198:K198)</f>
        <v>2044776.8800000001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42273</v>
      </c>
      <c r="G200" s="18">
        <v>10572.48</v>
      </c>
      <c r="H200" s="18">
        <v>25747.07</v>
      </c>
      <c r="I200" s="18">
        <v>4138.37</v>
      </c>
      <c r="J200" s="18"/>
      <c r="K200" s="18">
        <f>637.5+225</f>
        <v>862.5</v>
      </c>
      <c r="L200" s="19">
        <f>SUM(F200:K200)</f>
        <v>83593.419999999984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80864+58461.69+114247</f>
        <v>253572.69</v>
      </c>
      <c r="G202" s="18">
        <v>108525.22</v>
      </c>
      <c r="H202" s="18">
        <v>874</v>
      </c>
      <c r="I202" s="18">
        <v>2329.04</v>
      </c>
      <c r="J202" s="18">
        <v>539.6</v>
      </c>
      <c r="K202" s="18"/>
      <c r="L202" s="19">
        <f t="shared" ref="L202:L208" si="0">SUM(F202:K202)</f>
        <v>365840.55</v>
      </c>
      <c r="M202" s="8"/>
      <c r="N202" s="266"/>
    </row>
    <row r="203" spans="1:14" s="3" customFormat="1" ht="12.2" customHeight="1" x14ac:dyDescent="0.15">
      <c r="A203" s="1" t="s">
        <v>443</v>
      </c>
      <c r="B203" s="2" t="s">
        <v>341</v>
      </c>
      <c r="C203" s="2" t="s">
        <v>295</v>
      </c>
      <c r="D203" s="2" t="s">
        <v>431</v>
      </c>
      <c r="E203" s="6">
        <v>2200</v>
      </c>
      <c r="F203" s="18">
        <f>89635+92157.78+82926.8</f>
        <v>264719.58</v>
      </c>
      <c r="G203" s="18">
        <f>64490.7+9893.4</f>
        <v>74384.099999999991</v>
      </c>
      <c r="H203" s="18">
        <f>24541.63+5213.44</f>
        <v>29755.07</v>
      </c>
      <c r="I203" s="18">
        <f>1664.86+21776.12+79070.85+1269.98</f>
        <v>103781.81</v>
      </c>
      <c r="J203" s="18">
        <f>144.97+72225</f>
        <v>72369.97</v>
      </c>
      <c r="K203" s="18"/>
      <c r="L203" s="19">
        <f t="shared" si="0"/>
        <v>545010.53</v>
      </c>
      <c r="M203" s="8"/>
      <c r="N203" s="266"/>
    </row>
    <row r="204" spans="1:14" s="3" customFormat="1" ht="12.2" customHeight="1" x14ac:dyDescent="0.15">
      <c r="A204" s="1" t="s">
        <v>444</v>
      </c>
      <c r="B204" s="2" t="s">
        <v>341</v>
      </c>
      <c r="C204" s="2" t="s">
        <v>296</v>
      </c>
      <c r="D204" s="2" t="s">
        <v>431</v>
      </c>
      <c r="E204" s="6">
        <v>2300</v>
      </c>
      <c r="F204" s="18">
        <v>14280</v>
      </c>
      <c r="G204" s="18">
        <v>1092.42</v>
      </c>
      <c r="H204" s="18">
        <f>38400.24+228167</f>
        <v>266567.24</v>
      </c>
      <c r="I204" s="18"/>
      <c r="J204" s="18"/>
      <c r="K204" s="18">
        <v>4754.54</v>
      </c>
      <c r="L204" s="19">
        <f t="shared" si="0"/>
        <v>286694.19999999995</v>
      </c>
      <c r="M204" s="8"/>
      <c r="N204" s="266"/>
    </row>
    <row r="205" spans="1:14" s="3" customFormat="1" ht="12.2" customHeight="1" x14ac:dyDescent="0.15">
      <c r="A205" s="1" t="s">
        <v>445</v>
      </c>
      <c r="B205" s="2" t="s">
        <v>341</v>
      </c>
      <c r="C205" s="2" t="s">
        <v>297</v>
      </c>
      <c r="D205" s="2" t="s">
        <v>431</v>
      </c>
      <c r="E205" s="6">
        <v>2400</v>
      </c>
      <c r="F205" s="18">
        <v>258338.07</v>
      </c>
      <c r="G205" s="18">
        <v>97367.76</v>
      </c>
      <c r="H205" s="18">
        <v>7945.86</v>
      </c>
      <c r="I205" s="18">
        <v>2181.7399999999998</v>
      </c>
      <c r="J205" s="18"/>
      <c r="K205" s="18">
        <v>995</v>
      </c>
      <c r="L205" s="19">
        <f t="shared" si="0"/>
        <v>366828.43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185042.82</v>
      </c>
      <c r="G207" s="18">
        <v>108103.01</v>
      </c>
      <c r="H207" s="18">
        <f>150070.77+26645.39+385.43</f>
        <v>177101.58999999997</v>
      </c>
      <c r="I207" s="18">
        <v>116092.62</v>
      </c>
      <c r="J207" s="18">
        <v>19270.060000000001</v>
      </c>
      <c r="K207" s="18"/>
      <c r="L207" s="19">
        <f t="shared" si="0"/>
        <v>605610.10000000009</v>
      </c>
      <c r="M207" s="8"/>
      <c r="N207" s="266"/>
    </row>
    <row r="208" spans="1:14" s="3" customFormat="1" ht="12.2" customHeight="1" x14ac:dyDescent="0.15">
      <c r="A208" s="1" t="s">
        <v>448</v>
      </c>
      <c r="B208" s="2" t="s">
        <v>341</v>
      </c>
      <c r="C208" s="2" t="s">
        <v>300</v>
      </c>
      <c r="D208" s="2" t="s">
        <v>431</v>
      </c>
      <c r="E208" s="6">
        <v>2700</v>
      </c>
      <c r="F208" s="18"/>
      <c r="G208" s="18"/>
      <c r="H208" s="18">
        <f>379439.47+61537.54+3875.1+6167.88</f>
        <v>451019.98999999993</v>
      </c>
      <c r="I208" s="18"/>
      <c r="J208" s="18"/>
      <c r="K208" s="18"/>
      <c r="L208" s="19">
        <f t="shared" si="0"/>
        <v>451019.98999999993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v>407</v>
      </c>
      <c r="L209" s="19">
        <f>SUM(F209:K209)</f>
        <v>407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4630792.97</v>
      </c>
      <c r="G211" s="41">
        <f t="shared" si="1"/>
        <v>2004423.75</v>
      </c>
      <c r="H211" s="41">
        <f t="shared" si="1"/>
        <v>1407085.2899999998</v>
      </c>
      <c r="I211" s="41">
        <f t="shared" si="1"/>
        <v>296042.93</v>
      </c>
      <c r="J211" s="41">
        <f t="shared" si="1"/>
        <v>105578.13</v>
      </c>
      <c r="K211" s="41">
        <f t="shared" si="1"/>
        <v>8258.0400000000009</v>
      </c>
      <c r="L211" s="41">
        <f t="shared" si="1"/>
        <v>8452181.1099999994</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281556.5</v>
      </c>
      <c r="I255" s="18"/>
      <c r="J255" s="18"/>
      <c r="K255" s="18"/>
      <c r="L255" s="19">
        <f t="shared" si="6"/>
        <v>281556.5</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281556.5</v>
      </c>
      <c r="I256" s="41">
        <f t="shared" si="7"/>
        <v>0</v>
      </c>
      <c r="J256" s="41">
        <f t="shared" si="7"/>
        <v>0</v>
      </c>
      <c r="K256" s="41">
        <f t="shared" si="7"/>
        <v>0</v>
      </c>
      <c r="L256" s="41">
        <f>SUM(F256:K256)</f>
        <v>281556.5</v>
      </c>
      <c r="M256" s="8"/>
      <c r="N256" s="266"/>
    </row>
    <row r="257" spans="1:14" s="3" customFormat="1" ht="12.2" customHeight="1" thickTop="1" x14ac:dyDescent="0.15">
      <c r="A257" s="38" t="s">
        <v>462</v>
      </c>
      <c r="B257" s="40">
        <v>10</v>
      </c>
      <c r="C257" s="40">
        <v>8</v>
      </c>
      <c r="D257" s="39" t="s">
        <v>431</v>
      </c>
      <c r="E257" s="40"/>
      <c r="F257" s="41">
        <f t="shared" ref="F257:L257" si="8">F211+F229+F247+F256</f>
        <v>4630792.97</v>
      </c>
      <c r="G257" s="41">
        <f t="shared" si="8"/>
        <v>2004423.75</v>
      </c>
      <c r="H257" s="41">
        <f t="shared" si="8"/>
        <v>1688641.7899999998</v>
      </c>
      <c r="I257" s="41">
        <f t="shared" si="8"/>
        <v>296042.93</v>
      </c>
      <c r="J257" s="41">
        <f t="shared" si="8"/>
        <v>105578.13</v>
      </c>
      <c r="K257" s="41">
        <f t="shared" si="8"/>
        <v>8258.0400000000009</v>
      </c>
      <c r="L257" s="41">
        <f t="shared" si="8"/>
        <v>8733737.6099999994</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100000</v>
      </c>
      <c r="L260" s="19">
        <f>SUM(F260:K260)</f>
        <v>100000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34102.5</v>
      </c>
      <c r="L261" s="19">
        <f>SUM(F261:K261)</f>
        <v>34102.5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20960</v>
      </c>
      <c r="L263" s="19">
        <f>SUM(F263:K263)</f>
        <v>20960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175000</v>
      </c>
      <c r="L266" s="19">
        <f t="shared" si="9"/>
        <v>175000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330062.5</v>
      </c>
      <c r="L270" s="41">
        <f t="shared" si="9"/>
        <v>330062.5</v>
      </c>
      <c r="N270" s="264"/>
    </row>
    <row r="271" spans="1:14" s="3" customFormat="1" ht="12.2" customHeight="1" thickTop="1" x14ac:dyDescent="0.2">
      <c r="A271" s="43" t="s">
        <v>464</v>
      </c>
      <c r="B271" s="40">
        <v>10</v>
      </c>
      <c r="C271" s="40">
        <v>18</v>
      </c>
      <c r="D271" s="39" t="s">
        <v>431</v>
      </c>
      <c r="E271" s="40"/>
      <c r="F271" s="42">
        <f t="shared" ref="F271:L271" si="11">F257+F270</f>
        <v>4630792.97</v>
      </c>
      <c r="G271" s="42">
        <f t="shared" si="11"/>
        <v>2004423.75</v>
      </c>
      <c r="H271" s="42">
        <f t="shared" si="11"/>
        <v>1688641.7899999998</v>
      </c>
      <c r="I271" s="42">
        <f t="shared" si="11"/>
        <v>296042.93</v>
      </c>
      <c r="J271" s="42">
        <f t="shared" si="11"/>
        <v>105578.13</v>
      </c>
      <c r="K271" s="42">
        <f t="shared" si="11"/>
        <v>338320.54</v>
      </c>
      <c r="L271" s="42">
        <f t="shared" si="11"/>
        <v>9063800.1099999994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16493.75</v>
      </c>
      <c r="G276" s="18">
        <v>1261.79</v>
      </c>
      <c r="H276" s="18">
        <v>1637.34</v>
      </c>
      <c r="I276" s="18">
        <v>1495.04</v>
      </c>
      <c r="J276" s="18"/>
      <c r="K276" s="18">
        <v>25</v>
      </c>
      <c r="L276" s="19">
        <f>SUM(F276:K276)</f>
        <v>20912.920000000002</v>
      </c>
      <c r="M276" s="8"/>
      <c r="N276" s="266"/>
    </row>
    <row r="277" spans="1:14" s="3" customFormat="1" ht="12.2" customHeight="1" x14ac:dyDescent="0.15">
      <c r="A277" s="1" t="s">
        <v>439</v>
      </c>
      <c r="B277" s="2" t="s">
        <v>357</v>
      </c>
      <c r="C277" s="2" t="s">
        <v>291</v>
      </c>
      <c r="D277" s="2" t="s">
        <v>431</v>
      </c>
      <c r="E277" s="6">
        <v>1200</v>
      </c>
      <c r="F277" s="18">
        <v>18915</v>
      </c>
      <c r="G277" s="18">
        <v>1520.12</v>
      </c>
      <c r="H277" s="18">
        <v>48795</v>
      </c>
      <c r="I277" s="18">
        <f>2233.83-0.06</f>
        <v>2233.77</v>
      </c>
      <c r="J277" s="18">
        <v>9553.17</v>
      </c>
      <c r="K277" s="18"/>
      <c r="L277" s="19">
        <f>SUM(F277:K277)</f>
        <v>81017.06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v>3025</v>
      </c>
      <c r="I279" s="18"/>
      <c r="J279" s="18"/>
      <c r="K279" s="18"/>
      <c r="L279" s="19">
        <f>SUM(F279:K279)</f>
        <v>3025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v>17538</v>
      </c>
      <c r="I282" s="18"/>
      <c r="J282" s="18"/>
      <c r="K282" s="18"/>
      <c r="L282" s="19">
        <f t="shared" si="12"/>
        <v>17538</v>
      </c>
      <c r="M282" s="8"/>
      <c r="N282" s="266"/>
    </row>
    <row r="283" spans="1:14" s="3" customFormat="1" ht="12.2" customHeight="1" x14ac:dyDescent="0.15">
      <c r="A283" s="1" t="s">
        <v>444</v>
      </c>
      <c r="B283" s="2" t="s">
        <v>357</v>
      </c>
      <c r="C283" s="2" t="s">
        <v>296</v>
      </c>
      <c r="D283" s="2" t="s">
        <v>431</v>
      </c>
      <c r="E283" s="6">
        <v>2300</v>
      </c>
      <c r="F283" s="18">
        <v>1400</v>
      </c>
      <c r="G283" s="18">
        <v>350.14</v>
      </c>
      <c r="H283" s="18"/>
      <c r="I283" s="18"/>
      <c r="J283" s="18"/>
      <c r="K283" s="18">
        <v>2497.87</v>
      </c>
      <c r="L283" s="19">
        <f t="shared" si="12"/>
        <v>4248.01</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36808.75</v>
      </c>
      <c r="G290" s="42">
        <f t="shared" si="13"/>
        <v>3132.0499999999997</v>
      </c>
      <c r="H290" s="42">
        <f t="shared" si="13"/>
        <v>70995.34</v>
      </c>
      <c r="I290" s="42">
        <f t="shared" si="13"/>
        <v>3728.81</v>
      </c>
      <c r="J290" s="42">
        <f t="shared" si="13"/>
        <v>9553.17</v>
      </c>
      <c r="K290" s="42">
        <f t="shared" si="13"/>
        <v>2522.87</v>
      </c>
      <c r="L290" s="41">
        <f t="shared" si="13"/>
        <v>126740.98999999999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36808.75</v>
      </c>
      <c r="G338" s="41">
        <f t="shared" si="20"/>
        <v>3132.0499999999997</v>
      </c>
      <c r="H338" s="41">
        <f t="shared" si="20"/>
        <v>70995.34</v>
      </c>
      <c r="I338" s="41">
        <f t="shared" si="20"/>
        <v>3728.81</v>
      </c>
      <c r="J338" s="41">
        <f t="shared" si="20"/>
        <v>9553.17</v>
      </c>
      <c r="K338" s="41">
        <f t="shared" si="20"/>
        <v>2522.87</v>
      </c>
      <c r="L338" s="41">
        <f t="shared" si="20"/>
        <v>126740.98999999999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36808.75</v>
      </c>
      <c r="G352" s="41">
        <f>G338</f>
        <v>3132.0499999999997</v>
      </c>
      <c r="H352" s="41">
        <f>H338</f>
        <v>70995.34</v>
      </c>
      <c r="I352" s="41">
        <f>I338</f>
        <v>3728.81</v>
      </c>
      <c r="J352" s="41">
        <f>J338</f>
        <v>9553.17</v>
      </c>
      <c r="K352" s="47">
        <f>K338+K351</f>
        <v>2522.87</v>
      </c>
      <c r="L352" s="41">
        <f>L338+L351</f>
        <v>126740.98999999999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48009+47199.97+774.01</f>
        <v>95982.98</v>
      </c>
      <c r="G358" s="18"/>
      <c r="H358" s="18">
        <v>1141.58</v>
      </c>
      <c r="I358" s="18">
        <f>3162.95+48687.34+11662.75+1867.15</f>
        <v>65380.189999999995</v>
      </c>
      <c r="J358" s="18">
        <v>10460.25</v>
      </c>
      <c r="K358" s="18">
        <f>1357.69-0.83</f>
        <v>1356.8600000000001</v>
      </c>
      <c r="L358" s="13">
        <f>SUM(F358:K358)</f>
        <v>174321.86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95982.98</v>
      </c>
      <c r="G362" s="47">
        <f t="shared" si="22"/>
        <v>0</v>
      </c>
      <c r="H362" s="47">
        <f t="shared" si="22"/>
        <v>1141.58</v>
      </c>
      <c r="I362" s="47">
        <f t="shared" si="22"/>
        <v>65380.189999999995</v>
      </c>
      <c r="J362" s="47">
        <f t="shared" si="22"/>
        <v>10460.25</v>
      </c>
      <c r="K362" s="47">
        <f t="shared" si="22"/>
        <v>1356.8600000000001</v>
      </c>
      <c r="L362" s="47">
        <f t="shared" si="22"/>
        <v>174321.86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48687.34+11662.75</f>
        <v>60350.09</v>
      </c>
      <c r="G367" s="18"/>
      <c r="H367" s="18"/>
      <c r="I367" s="56">
        <f>SUM(F367:H367)</f>
        <v>60350.09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3162.95+1867.15</f>
        <v>5030.1000000000004</v>
      </c>
      <c r="G368" s="63"/>
      <c r="H368" s="63"/>
      <c r="I368" s="56">
        <f>SUM(F368:H368)</f>
        <v>5030.1000000000004</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65380.189999999995</v>
      </c>
      <c r="G369" s="47">
        <f>SUM(G367:G368)</f>
        <v>0</v>
      </c>
      <c r="H369" s="47">
        <f>SUM(H367:H368)</f>
        <v>0</v>
      </c>
      <c r="I369" s="47">
        <f>SUM(I367:I368)</f>
        <v>65380.189999999995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v>4.68</v>
      </c>
      <c r="I389" s="18"/>
      <c r="J389" s="24" t="s">
        <v>288</v>
      </c>
      <c r="K389" s="24" t="s">
        <v>288</v>
      </c>
      <c r="L389" s="56">
        <f t="shared" si="25"/>
        <v>4.68</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4.68</v>
      </c>
      <c r="I393" s="65">
        <f>SUM(I387:I392)</f>
        <v>0</v>
      </c>
      <c r="J393" s="45" t="s">
        <v>288</v>
      </c>
      <c r="K393" s="45" t="s">
        <v>288</v>
      </c>
      <c r="L393" s="47">
        <f>SUM(L387:L392)</f>
        <v>4.68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v>1978.5</v>
      </c>
      <c r="I395" s="18"/>
      <c r="J395" s="24" t="s">
        <v>288</v>
      </c>
      <c r="K395" s="24" t="s">
        <v>288</v>
      </c>
      <c r="L395" s="56">
        <f t="shared" ref="L395:L400" si="26">SUM(F395:K395)</f>
        <v>1978.5</v>
      </c>
      <c r="M395" s="8"/>
      <c r="N395" s="266"/>
    </row>
    <row r="396" spans="1:14" s="3" customFormat="1" ht="12.2" customHeight="1" x14ac:dyDescent="0.15">
      <c r="A396" s="79" t="s">
        <v>557</v>
      </c>
      <c r="B396" s="2" t="s">
        <v>381</v>
      </c>
      <c r="C396" s="6">
        <v>9</v>
      </c>
      <c r="D396" s="2" t="s">
        <v>432</v>
      </c>
      <c r="E396" s="6"/>
      <c r="F396" s="18"/>
      <c r="G396" s="18">
        <v>25000</v>
      </c>
      <c r="H396" s="18">
        <v>2382.63</v>
      </c>
      <c r="I396" s="18"/>
      <c r="J396" s="24" t="s">
        <v>288</v>
      </c>
      <c r="K396" s="24" t="s">
        <v>288</v>
      </c>
      <c r="L396" s="56">
        <f t="shared" si="26"/>
        <v>27382.63</v>
      </c>
      <c r="M396" s="8"/>
      <c r="N396" s="266"/>
    </row>
    <row r="397" spans="1:14" s="3" customFormat="1" ht="12.2" customHeight="1" x14ac:dyDescent="0.15">
      <c r="A397" s="79" t="s">
        <v>515</v>
      </c>
      <c r="B397" s="2" t="s">
        <v>381</v>
      </c>
      <c r="C397" s="6">
        <v>10</v>
      </c>
      <c r="D397" s="2" t="s">
        <v>432</v>
      </c>
      <c r="E397" s="6"/>
      <c r="F397" s="18"/>
      <c r="G397" s="18">
        <v>150000</v>
      </c>
      <c r="H397" s="18">
        <v>3258.21</v>
      </c>
      <c r="I397" s="18"/>
      <c r="J397" s="24" t="s">
        <v>288</v>
      </c>
      <c r="K397" s="24" t="s">
        <v>288</v>
      </c>
      <c r="L397" s="56">
        <f t="shared" si="26"/>
        <v>153258.21</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251.01</v>
      </c>
      <c r="I399" s="18"/>
      <c r="J399" s="24" t="s">
        <v>288</v>
      </c>
      <c r="K399" s="24" t="s">
        <v>288</v>
      </c>
      <c r="L399" s="56">
        <f t="shared" si="26"/>
        <v>251.01</v>
      </c>
      <c r="M399" s="8"/>
      <c r="N399" s="266"/>
    </row>
    <row r="400" spans="1:14" s="3" customFormat="1" ht="12.2" customHeight="1" thickBot="1" x14ac:dyDescent="0.2">
      <c r="A400" s="79" t="s">
        <v>510</v>
      </c>
      <c r="B400" s="2" t="s">
        <v>381</v>
      </c>
      <c r="C400" s="6">
        <v>13</v>
      </c>
      <c r="D400" s="2" t="s">
        <v>432</v>
      </c>
      <c r="E400" s="6"/>
      <c r="F400" s="18"/>
      <c r="G400" s="18"/>
      <c r="H400" s="18">
        <v>516.67999999999995</v>
      </c>
      <c r="I400" s="18"/>
      <c r="J400" s="24" t="s">
        <v>288</v>
      </c>
      <c r="K400" s="24" t="s">
        <v>288</v>
      </c>
      <c r="L400" s="56">
        <f t="shared" si="26"/>
        <v>516.67999999999995</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175000</v>
      </c>
      <c r="H401" s="47">
        <f>SUM(H395:H400)</f>
        <v>8387.0300000000007</v>
      </c>
      <c r="I401" s="47">
        <f>SUM(I395:I400)</f>
        <v>0</v>
      </c>
      <c r="J401" s="45" t="s">
        <v>288</v>
      </c>
      <c r="K401" s="45" t="s">
        <v>288</v>
      </c>
      <c r="L401" s="47">
        <f>SUM(L395:L400)</f>
        <v>183387.03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175000</v>
      </c>
      <c r="H408" s="47">
        <f>H393+H401+H407</f>
        <v>8391.7100000000009</v>
      </c>
      <c r="I408" s="47">
        <f>I393+I401+I407</f>
        <v>0</v>
      </c>
      <c r="J408" s="24" t="s">
        <v>288</v>
      </c>
      <c r="K408" s="24" t="s">
        <v>288</v>
      </c>
      <c r="L408" s="47">
        <f>L393+L401+L407</f>
        <v>183391.71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v>10661.24</v>
      </c>
      <c r="L415" s="56">
        <f t="shared" si="27"/>
        <v>10661.24</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v>150700</v>
      </c>
      <c r="L418" s="56">
        <f t="shared" si="27"/>
        <v>150700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161361.24</v>
      </c>
      <c r="L419" s="47">
        <f t="shared" si="28"/>
        <v>161361.24</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161361.24</v>
      </c>
      <c r="L434" s="47">
        <f t="shared" si="32"/>
        <v>161361.24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515655.75</v>
      </c>
      <c r="H440" s="18"/>
      <c r="I440" s="56">
        <f t="shared" si="33"/>
        <v>515655.75</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515655.75</v>
      </c>
      <c r="H446" s="13">
        <f>SUM(H439:H445)</f>
        <v>0</v>
      </c>
      <c r="I446" s="13">
        <f>SUM(I439:I445)</f>
        <v>515655.75</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515655.75</v>
      </c>
      <c r="H459" s="18"/>
      <c r="I459" s="56">
        <f t="shared" si="34"/>
        <v>515655.75</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515655.75</v>
      </c>
      <c r="H460" s="83">
        <f>SUM(H454:H459)</f>
        <v>0</v>
      </c>
      <c r="I460" s="83">
        <f>SUM(I454:I459)</f>
        <v>515655.75</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515655.75</v>
      </c>
      <c r="H461" s="42">
        <f>H452+H460</f>
        <v>0</v>
      </c>
      <c r="I461" s="42">
        <f>I452+I460</f>
        <v>515655.75</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230683.6</v>
      </c>
      <c r="G465" s="18">
        <v>0</v>
      </c>
      <c r="H465" s="18">
        <v>0</v>
      </c>
      <c r="I465" s="18"/>
      <c r="J465" s="18">
        <v>493625.28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9303348.8699999992</v>
      </c>
      <c r="G468" s="18">
        <v>174321.86</v>
      </c>
      <c r="H468" s="18">
        <v>126740.99</v>
      </c>
      <c r="I468" s="18"/>
      <c r="J468" s="18">
        <f>175000+8391.71</f>
        <v>183391.71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9303348.8699999992</v>
      </c>
      <c r="G470" s="53">
        <f>SUM(G468:G469)</f>
        <v>174321.86</v>
      </c>
      <c r="H470" s="53">
        <f>SUM(H468:H469)</f>
        <v>126740.99</v>
      </c>
      <c r="I470" s="53">
        <f>SUM(I468:I469)</f>
        <v>0</v>
      </c>
      <c r="J470" s="53">
        <f>SUM(J468:J469)</f>
        <v>183391.71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8753173.34+310626.77</f>
        <v>9063800.1099999994</v>
      </c>
      <c r="G472" s="18">
        <f>174322.69-0.83</f>
        <v>174321.86000000002</v>
      </c>
      <c r="H472" s="18">
        <v>126740.99</v>
      </c>
      <c r="I472" s="18"/>
      <c r="J472" s="18">
        <v>161361.24</v>
      </c>
      <c r="K472" s="24" t="s">
        <v>288</v>
      </c>
      <c r="L472" s="24" t="s">
        <v>288</v>
      </c>
      <c r="N472" s="265"/>
    </row>
    <row r="473" spans="1:14" s="52" customFormat="1" ht="12.2" customHeight="1" x14ac:dyDescent="0.2">
      <c r="A473" s="93" t="s">
        <v>613</v>
      </c>
      <c r="B473" s="75">
        <v>19</v>
      </c>
      <c r="C473" s="80">
        <v>6</v>
      </c>
      <c r="D473" s="2" t="s">
        <v>432</v>
      </c>
      <c r="E473" s="80"/>
      <c r="F473" s="18">
        <v>111668.06</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9175468.1699999999</v>
      </c>
      <c r="G474" s="53">
        <f>SUM(G472:G473)</f>
        <v>174321.86000000002</v>
      </c>
      <c r="H474" s="53">
        <f>SUM(H472:H473)</f>
        <v>126740.99</v>
      </c>
      <c r="I474" s="53">
        <f>SUM(I472:I473)</f>
        <v>0</v>
      </c>
      <c r="J474" s="53">
        <f>SUM(J472:J473)</f>
        <v>161361.24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358564.29999999888</v>
      </c>
      <c r="G476" s="53">
        <f>(G465+G470)- G474</f>
        <v>0</v>
      </c>
      <c r="H476" s="53">
        <f>(H465+H470)- H474</f>
        <v>0</v>
      </c>
      <c r="I476" s="53">
        <f>(I465+I470)- I474</f>
        <v>0</v>
      </c>
      <c r="J476" s="53">
        <f>(J465+J470)- J474</f>
        <v>515655.75</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1613</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1200000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2.61</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690000</v>
      </c>
      <c r="G495" s="18"/>
      <c r="H495" s="18"/>
      <c r="I495" s="18"/>
      <c r="J495" s="18"/>
      <c r="K495" s="53">
        <f>SUM(F495:J495)</f>
        <v>690000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134102.5</v>
      </c>
      <c r="G497" s="18"/>
      <c r="H497" s="18"/>
      <c r="I497" s="18"/>
      <c r="J497" s="18"/>
      <c r="K497" s="53">
        <f t="shared" si="35"/>
        <v>134102.5</v>
      </c>
      <c r="L497" s="24" t="s">
        <v>288</v>
      </c>
      <c r="N497" s="265"/>
    </row>
    <row r="498" spans="1:14" s="52" customFormat="1" ht="12.2" customHeight="1" x14ac:dyDescent="0.2">
      <c r="A498" s="200" t="s">
        <v>622</v>
      </c>
      <c r="B498" s="201">
        <v>20</v>
      </c>
      <c r="C498" s="202">
        <v>9</v>
      </c>
      <c r="D498" s="203" t="s">
        <v>432</v>
      </c>
      <c r="E498" s="202"/>
      <c r="F498" s="204">
        <v>1835000</v>
      </c>
      <c r="G498" s="204"/>
      <c r="H498" s="204"/>
      <c r="I498" s="204"/>
      <c r="J498" s="204"/>
      <c r="K498" s="205">
        <f t="shared" si="35"/>
        <v>1835000</v>
      </c>
      <c r="L498" s="206" t="s">
        <v>288</v>
      </c>
      <c r="N498" s="265"/>
    </row>
    <row r="499" spans="1:14" s="52" customFormat="1" ht="12.2" customHeight="1" thickBot="1" x14ac:dyDescent="0.25">
      <c r="A499" s="22" t="s">
        <v>623</v>
      </c>
      <c r="B499" s="75">
        <v>20</v>
      </c>
      <c r="C499" s="115">
        <v>10</v>
      </c>
      <c r="D499" s="2" t="s">
        <v>432</v>
      </c>
      <c r="E499" s="115"/>
      <c r="F499" s="18">
        <v>672258.75</v>
      </c>
      <c r="G499" s="18"/>
      <c r="H499" s="18"/>
      <c r="I499" s="18"/>
      <c r="J499" s="18"/>
      <c r="K499" s="53">
        <f t="shared" si="35"/>
        <v>672258.75</v>
      </c>
      <c r="L499" s="24" t="s">
        <v>288</v>
      </c>
      <c r="N499" s="265"/>
    </row>
    <row r="500" spans="1:14" s="52" customFormat="1" ht="12.2" customHeight="1" thickTop="1" x14ac:dyDescent="0.2">
      <c r="A500" s="139" t="s">
        <v>624</v>
      </c>
      <c r="B500" s="44">
        <v>20</v>
      </c>
      <c r="C500" s="195">
        <v>11</v>
      </c>
      <c r="D500" s="39" t="s">
        <v>432</v>
      </c>
      <c r="E500" s="195"/>
      <c r="F500" s="42">
        <f>SUM(F498:F499)</f>
        <v>2507258.75</v>
      </c>
      <c r="G500" s="42">
        <f>SUM(G498:G499)</f>
        <v>0</v>
      </c>
      <c r="H500" s="42">
        <f>SUM(H498:H499)</f>
        <v>0</v>
      </c>
      <c r="I500" s="42">
        <f>SUM(I498:I499)</f>
        <v>0</v>
      </c>
      <c r="J500" s="42">
        <f>SUM(J498:J499)</f>
        <v>0</v>
      </c>
      <c r="K500" s="42">
        <f t="shared" si="35"/>
        <v>2507258.75</v>
      </c>
      <c r="L500" s="45" t="s">
        <v>288</v>
      </c>
      <c r="N500" s="265"/>
    </row>
    <row r="501" spans="1:14" s="52" customFormat="1" ht="12.2" customHeight="1" x14ac:dyDescent="0.2">
      <c r="A501" s="200" t="s">
        <v>651</v>
      </c>
      <c r="B501" s="201">
        <v>20</v>
      </c>
      <c r="C501" s="202">
        <v>12</v>
      </c>
      <c r="D501" s="203" t="s">
        <v>432</v>
      </c>
      <c r="E501" s="202"/>
      <c r="F501" s="204">
        <v>590000</v>
      </c>
      <c r="G501" s="204"/>
      <c r="H501" s="204"/>
      <c r="I501" s="204"/>
      <c r="J501" s="204"/>
      <c r="K501" s="205">
        <f t="shared" si="35"/>
        <v>590000</v>
      </c>
      <c r="L501" s="206" t="s">
        <v>288</v>
      </c>
      <c r="N501" s="265"/>
    </row>
    <row r="502" spans="1:14" s="52" customFormat="1" ht="12.2" customHeight="1" thickBot="1" x14ac:dyDescent="0.25">
      <c r="A502" s="22" t="s">
        <v>625</v>
      </c>
      <c r="B502" s="75">
        <v>20</v>
      </c>
      <c r="C502" s="115">
        <v>13</v>
      </c>
      <c r="D502" s="2" t="s">
        <v>432</v>
      </c>
      <c r="E502" s="115"/>
      <c r="F502" s="18">
        <v>133625</v>
      </c>
      <c r="G502" s="18"/>
      <c r="H502" s="18"/>
      <c r="I502" s="18"/>
      <c r="J502" s="18"/>
      <c r="K502" s="53">
        <f t="shared" si="35"/>
        <v>133625</v>
      </c>
      <c r="L502" s="24" t="s">
        <v>288</v>
      </c>
      <c r="N502" s="265"/>
    </row>
    <row r="503" spans="1:14" s="52" customFormat="1" ht="12.2" customHeight="1" thickTop="1" x14ac:dyDescent="0.2">
      <c r="A503" s="139" t="s">
        <v>626</v>
      </c>
      <c r="B503" s="44">
        <v>20</v>
      </c>
      <c r="C503" s="195">
        <v>14</v>
      </c>
      <c r="D503" s="39" t="s">
        <v>432</v>
      </c>
      <c r="E503" s="195"/>
      <c r="F503" s="42">
        <f>SUM(F501:F502)</f>
        <v>723625</v>
      </c>
      <c r="G503" s="42">
        <f>SUM(G501:G502)</f>
        <v>0</v>
      </c>
      <c r="H503" s="42">
        <f>SUM(H501:H502)</f>
        <v>0</v>
      </c>
      <c r="I503" s="42">
        <f>SUM(I501:I502)</f>
        <v>0</v>
      </c>
      <c r="J503" s="42">
        <f>SUM(J501:J502)</f>
        <v>0</v>
      </c>
      <c r="K503" s="42">
        <f t="shared" si="35"/>
        <v>723625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546911.88+80864+465561.19+18915</f>
        <v>1112252.07</v>
      </c>
      <c r="G521" s="18">
        <f>236504.93+37778.97+103202.46+1520.12</f>
        <v>379006.48000000004</v>
      </c>
      <c r="H521" s="18">
        <f>419284.54-27.5+48795</f>
        <v>468052.04</v>
      </c>
      <c r="I521" s="18">
        <f>4308.75+2233.83-0.06</f>
        <v>6542.5199999999995</v>
      </c>
      <c r="J521" s="18">
        <f>2202+9553.17</f>
        <v>11755.17</v>
      </c>
      <c r="K521" s="18"/>
      <c r="L521" s="88">
        <f>SUM(F521:K521)</f>
        <v>1977608.28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1112252.07</v>
      </c>
      <c r="G524" s="108">
        <f t="shared" ref="G524:L524" si="36">SUM(G521:G523)</f>
        <v>379006.48000000004</v>
      </c>
      <c r="H524" s="108">
        <f t="shared" si="36"/>
        <v>468052.04</v>
      </c>
      <c r="I524" s="108">
        <f t="shared" si="36"/>
        <v>6542.5199999999995</v>
      </c>
      <c r="J524" s="108">
        <f t="shared" si="36"/>
        <v>11755.17</v>
      </c>
      <c r="K524" s="108">
        <f t="shared" si="36"/>
        <v>0</v>
      </c>
      <c r="L524" s="89">
        <f t="shared" si="36"/>
        <v>1977608.28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47745.88+39702.1</f>
        <v>87447.98</v>
      </c>
      <c r="G531" s="18">
        <f>26856.75+32614.44</f>
        <v>59471.19</v>
      </c>
      <c r="H531" s="18"/>
      <c r="I531" s="18"/>
      <c r="J531" s="18"/>
      <c r="K531" s="18">
        <v>1239</v>
      </c>
      <c r="L531" s="88">
        <f>SUM(F531:K531)</f>
        <v>148158.16999999998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87447.98</v>
      </c>
      <c r="G534" s="89">
        <f t="shared" ref="G534:L534" si="38">SUM(G531:G533)</f>
        <v>59471.19</v>
      </c>
      <c r="H534" s="89">
        <f t="shared" si="38"/>
        <v>0</v>
      </c>
      <c r="I534" s="89">
        <f t="shared" si="38"/>
        <v>0</v>
      </c>
      <c r="J534" s="89">
        <f t="shared" si="38"/>
        <v>0</v>
      </c>
      <c r="K534" s="89">
        <f t="shared" si="38"/>
        <v>1239</v>
      </c>
      <c r="L534" s="89">
        <f t="shared" si="38"/>
        <v>148158.16999999998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27.5</v>
      </c>
      <c r="I536" s="18"/>
      <c r="J536" s="18"/>
      <c r="K536" s="18"/>
      <c r="L536" s="88">
        <f>SUM(F536:K536)</f>
        <v>27.5</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27.5</v>
      </c>
      <c r="I539" s="89">
        <f t="shared" si="39"/>
        <v>0</v>
      </c>
      <c r="J539" s="89">
        <f t="shared" si="39"/>
        <v>0</v>
      </c>
      <c r="K539" s="89">
        <f t="shared" si="39"/>
        <v>0</v>
      </c>
      <c r="L539" s="89">
        <f t="shared" si="39"/>
        <v>27.5</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61537.54</v>
      </c>
      <c r="I541" s="18"/>
      <c r="J541" s="18"/>
      <c r="K541" s="18"/>
      <c r="L541" s="88">
        <f>SUM(F541:K541)</f>
        <v>61537.54</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61537.54</v>
      </c>
      <c r="I544" s="193">
        <f t="shared" si="40"/>
        <v>0</v>
      </c>
      <c r="J544" s="193">
        <f t="shared" si="40"/>
        <v>0</v>
      </c>
      <c r="K544" s="193">
        <f t="shared" si="40"/>
        <v>0</v>
      </c>
      <c r="L544" s="193">
        <f t="shared" si="40"/>
        <v>61537.54</v>
      </c>
      <c r="M544" s="8"/>
      <c r="N544" s="266"/>
    </row>
    <row r="545" spans="1:14" s="3" customFormat="1" ht="12.2" customHeight="1" thickTop="1" x14ac:dyDescent="0.15">
      <c r="A545" s="98" t="s">
        <v>72</v>
      </c>
      <c r="B545" s="107">
        <v>21</v>
      </c>
      <c r="C545" s="107">
        <v>21</v>
      </c>
      <c r="D545" s="158" t="s">
        <v>432</v>
      </c>
      <c r="E545" s="107"/>
      <c r="F545" s="89">
        <f>F524+F529+F534+F539+F544</f>
        <v>1199700.05</v>
      </c>
      <c r="G545" s="89">
        <f t="shared" ref="G545:L545" si="41">G524+G529+G534+G539+G544</f>
        <v>438477.67000000004</v>
      </c>
      <c r="H545" s="89">
        <f t="shared" si="41"/>
        <v>529617.07999999996</v>
      </c>
      <c r="I545" s="89">
        <f t="shared" si="41"/>
        <v>6542.5199999999995</v>
      </c>
      <c r="J545" s="89">
        <f t="shared" si="41"/>
        <v>11755.17</v>
      </c>
      <c r="K545" s="89">
        <f t="shared" si="41"/>
        <v>1239</v>
      </c>
      <c r="L545" s="89">
        <f t="shared" si="41"/>
        <v>2187331.4900000002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1977608.28</v>
      </c>
      <c r="G549" s="87">
        <f>L526</f>
        <v>0</v>
      </c>
      <c r="H549" s="87">
        <f>L531</f>
        <v>148158.16999999998</v>
      </c>
      <c r="I549" s="87">
        <f>L536</f>
        <v>27.5</v>
      </c>
      <c r="J549" s="87">
        <f>L541</f>
        <v>61537.54</v>
      </c>
      <c r="K549" s="87">
        <f>SUM(F549:J549)</f>
        <v>2187331.4900000002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1977608.28</v>
      </c>
      <c r="G552" s="89">
        <f t="shared" si="42"/>
        <v>0</v>
      </c>
      <c r="H552" s="89">
        <f t="shared" si="42"/>
        <v>148158.16999999998</v>
      </c>
      <c r="I552" s="89">
        <f t="shared" si="42"/>
        <v>27.5</v>
      </c>
      <c r="J552" s="89">
        <f t="shared" si="42"/>
        <v>61537.54</v>
      </c>
      <c r="K552" s="89">
        <f t="shared" si="42"/>
        <v>2187331.4900000002</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111621.53</v>
      </c>
      <c r="G582" s="18"/>
      <c r="H582" s="18"/>
      <c r="I582" s="87">
        <f t="shared" si="47"/>
        <v>111621.53</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379439.47</v>
      </c>
      <c r="I591" s="18"/>
      <c r="J591" s="18"/>
      <c r="K591" s="104">
        <f t="shared" ref="K591:K597" si="48">SUM(H591:J591)</f>
        <v>379439.47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61537.54</v>
      </c>
      <c r="I592" s="18"/>
      <c r="J592" s="18"/>
      <c r="K592" s="104">
        <f t="shared" si="48"/>
        <v>61537.54</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3875.1</v>
      </c>
      <c r="I594" s="18"/>
      <c r="J594" s="18"/>
      <c r="K594" s="104">
        <f t="shared" si="48"/>
        <v>3875.1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6167.88</v>
      </c>
      <c r="I595" s="18"/>
      <c r="J595" s="18"/>
      <c r="K595" s="104">
        <f t="shared" si="48"/>
        <v>6167.88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451019.98999999993</v>
      </c>
      <c r="I598" s="108">
        <f>SUM(I591:I597)</f>
        <v>0</v>
      </c>
      <c r="J598" s="108">
        <f>SUM(J591:J597)</f>
        <v>0</v>
      </c>
      <c r="K598" s="108">
        <f>SUM(K591:K597)</f>
        <v>451019.98999999993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97383.13+8195+9553.17</f>
        <v>115131.3</v>
      </c>
      <c r="I604" s="18"/>
      <c r="J604" s="18"/>
      <c r="K604" s="104">
        <f>SUM(H604:J604)</f>
        <v>115131.3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115131.3</v>
      </c>
      <c r="I605" s="108">
        <f>SUM(I602:I604)</f>
        <v>0</v>
      </c>
      <c r="J605" s="108">
        <f>SUM(J602:J604)</f>
        <v>0</v>
      </c>
      <c r="K605" s="108">
        <f>SUM(K602:K604)</f>
        <v>115131.3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376478.29000000004</v>
      </c>
      <c r="H617" s="109">
        <f>SUM(F52)</f>
        <v>376478.29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8068.8499999999995</v>
      </c>
      <c r="H618" s="109">
        <f>SUM(G52)</f>
        <v>8068.85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6352.21</v>
      </c>
      <c r="H619" s="109">
        <f>SUM(H52)</f>
        <v>6352.21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515655.75</v>
      </c>
      <c r="H621" s="109">
        <f>SUM(J52)</f>
        <v>515655.75</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358564.3</v>
      </c>
      <c r="H622" s="109">
        <f>F476</f>
        <v>358564.29999999888</v>
      </c>
      <c r="I622" s="121" t="s">
        <v>101</v>
      </c>
      <c r="J622" s="109">
        <f t="shared" ref="J622:J655" si="50">G622-H622</f>
        <v>1.1059455573558807E-9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515655.75</v>
      </c>
      <c r="H626" s="109">
        <f>J476</f>
        <v>515655.75</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9303348.870000001</v>
      </c>
      <c r="H627" s="104">
        <f>SUM(F468)</f>
        <v>9303348.8699999992</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174321.86</v>
      </c>
      <c r="H628" s="104">
        <f>SUM(G468)</f>
        <v>174321.86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126740.99</v>
      </c>
      <c r="H629" s="104">
        <f>SUM(H468)</f>
        <v>126740.99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183391.71</v>
      </c>
      <c r="H631" s="104">
        <f>SUM(J468)</f>
        <v>183391.71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9063800.1099999994</v>
      </c>
      <c r="H632" s="104">
        <f>SUM(F472)</f>
        <v>9063800.1099999994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126740.98999999999</v>
      </c>
      <c r="H633" s="104">
        <f>SUM(H472)</f>
        <v>126740.99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65380.189999999995</v>
      </c>
      <c r="H634" s="104">
        <f>I369</f>
        <v>65380.189999999995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174321.86</v>
      </c>
      <c r="H635" s="104">
        <f>SUM(G472)</f>
        <v>174321.86000000002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183391.71</v>
      </c>
      <c r="H637" s="164">
        <f>SUM(J468)</f>
        <v>183391.71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161361.24</v>
      </c>
      <c r="H638" s="164">
        <f>SUM(J472)</f>
        <v>161361.24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515655.75</v>
      </c>
      <c r="H640" s="104">
        <f>SUM(G461)</f>
        <v>515655.75</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515655.75</v>
      </c>
      <c r="H642" s="104">
        <f>SUM(I461)</f>
        <v>515655.75</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8391.7099999999991</v>
      </c>
      <c r="H644" s="104">
        <f>H408</f>
        <v>8391.7100000000009</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175000</v>
      </c>
      <c r="H645" s="104">
        <f>G408</f>
        <v>175000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183391.71</v>
      </c>
      <c r="H646" s="104">
        <f>L408</f>
        <v>183391.71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451019.98999999993</v>
      </c>
      <c r="H647" s="104">
        <f>L208+L226+L244</f>
        <v>451019.98999999993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115131.3</v>
      </c>
      <c r="H648" s="104">
        <f>(J257+J338)-(J255+J336)</f>
        <v>115131.3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451019.98999999993</v>
      </c>
      <c r="H649" s="104">
        <f>H598</f>
        <v>451019.98999999993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20960</v>
      </c>
      <c r="H652" s="104">
        <f>K263+K345</f>
        <v>20960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175000</v>
      </c>
      <c r="H655" s="104">
        <f>K266+K347</f>
        <v>175000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8753243.959999999</v>
      </c>
      <c r="G660" s="19">
        <f>(L229+L309+L359)</f>
        <v>0</v>
      </c>
      <c r="H660" s="19">
        <f>(L247+L328+L360)</f>
        <v>0</v>
      </c>
      <c r="I660" s="19">
        <f>SUM(F660:H660)</f>
        <v>8753243.959999999</v>
      </c>
      <c r="J660" s="13"/>
      <c r="K660" s="13"/>
      <c r="L660" s="13"/>
      <c r="M660" s="9"/>
    </row>
    <row r="661" spans="1:13" s="3" customFormat="1" ht="12.2" customHeight="1" x14ac:dyDescent="0.2">
      <c r="A661" s="1" t="s">
        <v>127</v>
      </c>
      <c r="F661" s="19">
        <f>(L358/IF(SUM(L358:L360)=0,1,SUM(L358:L360))*(SUM(G97:G110)))</f>
        <v>110627.26</v>
      </c>
      <c r="G661" s="19">
        <f>(L359/IF(SUM(L358:L360)=0,1,SUM(L358:L360))*(SUM(G97:G110)))</f>
        <v>0</v>
      </c>
      <c r="H661" s="19">
        <f>(L360/IF(SUM(L358:L360)=0,1,SUM(L358:L360))*(SUM(G97:G110)))</f>
        <v>0</v>
      </c>
      <c r="I661" s="19">
        <f>SUM(F661:H661)</f>
        <v>110627.26</v>
      </c>
      <c r="J661"/>
      <c r="K661" s="13"/>
      <c r="L661" s="13"/>
      <c r="M661" s="9"/>
    </row>
    <row r="662" spans="1:13" s="3" customFormat="1" ht="12.2" customHeight="1" x14ac:dyDescent="0.2">
      <c r="A662" s="1" t="s">
        <v>128</v>
      </c>
      <c r="F662" s="19">
        <f>(L208+L287)-(J208+J287)</f>
        <v>451019.98999999993</v>
      </c>
      <c r="G662" s="19">
        <f>(L226+L306)-(J226+J306)</f>
        <v>0</v>
      </c>
      <c r="H662" s="19">
        <f>(L244+L325)-(J244+J325)</f>
        <v>0</v>
      </c>
      <c r="I662" s="19">
        <f>SUM(F662:H662)</f>
        <v>451019.98999999993</v>
      </c>
      <c r="J662"/>
      <c r="K662" s="13"/>
      <c r="L662" s="13"/>
      <c r="M662" s="8"/>
    </row>
    <row r="663" spans="1:13" s="3" customFormat="1" ht="12.2" customHeight="1" x14ac:dyDescent="0.15">
      <c r="A663" s="198" t="s">
        <v>129</v>
      </c>
      <c r="B663" s="169"/>
      <c r="C663" s="169"/>
      <c r="D663" s="169"/>
      <c r="E663" s="169"/>
      <c r="F663" s="199">
        <f>SUM(F575:F587)+SUM(H602:H604)+SUM(L611)</f>
        <v>226752.83000000002</v>
      </c>
      <c r="G663" s="199">
        <f>SUM(G575:G587)+SUM(I602:I604)+L612</f>
        <v>0</v>
      </c>
      <c r="H663" s="199">
        <f>SUM(H575:H587)+SUM(J602:J604)+L613</f>
        <v>0</v>
      </c>
      <c r="I663" s="19">
        <f>SUM(F663:H663)</f>
        <v>226752.83000000002</v>
      </c>
      <c r="J663" s="13"/>
      <c r="K663" s="13"/>
      <c r="L663" s="13"/>
      <c r="M663" s="9"/>
    </row>
    <row r="664" spans="1:13" s="3" customFormat="1" ht="12.2" customHeight="1" x14ac:dyDescent="0.15">
      <c r="A664" s="1" t="s">
        <v>130</v>
      </c>
      <c r="F664" s="19">
        <f>F660-SUM(F661:F663)</f>
        <v>7964843.879999999</v>
      </c>
      <c r="G664" s="19">
        <f>G660-SUM(G661:G663)</f>
        <v>0</v>
      </c>
      <c r="H664" s="19">
        <f>H660-SUM(H661:H663)</f>
        <v>0</v>
      </c>
      <c r="I664" s="19">
        <f>I660-SUM(I661:I663)</f>
        <v>7964843.879999999</v>
      </c>
      <c r="J664" s="13"/>
      <c r="K664" s="13"/>
      <c r="L664" s="13"/>
      <c r="M664" s="9"/>
    </row>
    <row r="665" spans="1:13" s="3" customFormat="1" ht="12.2" customHeight="1" x14ac:dyDescent="0.2">
      <c r="A665" s="1" t="s">
        <v>131</v>
      </c>
      <c r="F665" s="246">
        <v>336.93</v>
      </c>
      <c r="G665" s="247"/>
      <c r="H665" s="247"/>
      <c r="I665" s="19">
        <f>SUM(F665:H665)</f>
        <v>336.93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23639.46</v>
      </c>
      <c r="G667" s="19" t="e">
        <f>ROUND(G664/G665,2)</f>
        <v>#DIV/0!</v>
      </c>
      <c r="H667" s="19" t="e">
        <f>ROUND(H664/H665,2)</f>
        <v>#DIV/0!</v>
      </c>
      <c r="I667" s="19">
        <f>ROUND(I664/I665,2)</f>
        <v>23639.46</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23639.46</v>
      </c>
      <c r="G672" s="19" t="e">
        <f>ROUND((G664+G669)/(G665+G670),2)</f>
        <v>#DIV/0!</v>
      </c>
      <c r="H672" s="19" t="e">
        <f>ROUND((H664+H669)/(H665+H670),2)</f>
        <v>#DIV/0!</v>
      </c>
      <c r="I672" s="19">
        <f>ROUND((I664+I669)/(I665+I670),2)</f>
        <v>23639.46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 HAMPTON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2448275.5099999998</v>
      </c>
      <c r="C9" s="229">
        <f>'DOE25'!G197+'DOE25'!G215+'DOE25'!G233+'DOE25'!G276+'DOE25'!G295+'DOE25'!G314</f>
        <v>1168683.01</v>
      </c>
    </row>
    <row r="10" spans="1:3" x14ac:dyDescent="0.2">
      <c r="A10" t="s">
        <v>775</v>
      </c>
      <c r="B10" s="240">
        <f>2310551.11+3950</f>
        <v>2314501.11</v>
      </c>
      <c r="C10" s="240">
        <f>384.66+1158000.99-0.02</f>
        <v>1158385.6299999999</v>
      </c>
    </row>
    <row r="11" spans="1:3" x14ac:dyDescent="0.2">
      <c r="A11" t="s">
        <v>776</v>
      </c>
      <c r="B11" s="240">
        <f>14136.25+16493.75</f>
        <v>30630</v>
      </c>
      <c r="C11" s="240">
        <f>1261.79+1145.04</f>
        <v>2406.83</v>
      </c>
    </row>
    <row r="12" spans="1:3" x14ac:dyDescent="0.2">
      <c r="A12" t="s">
        <v>777</v>
      </c>
      <c r="B12" s="240">
        <f>103144.4</f>
        <v>103144.4</v>
      </c>
      <c r="C12" s="240">
        <v>7890.55</v>
      </c>
    </row>
    <row r="13" spans="1:3" x14ac:dyDescent="0.2">
      <c r="A13" t="str">
        <f>IF(B9=B13,IF(C9=C13,"Check Total OK","Check Total Error"),"Check Total Error")</f>
        <v>Check Total OK</v>
      </c>
      <c r="B13" s="231">
        <f>SUM(B10:B12)</f>
        <v>2448275.5099999998</v>
      </c>
      <c r="C13" s="231">
        <f>SUM(C10:C12)</f>
        <v>1168683.01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1199700.05</v>
      </c>
      <c r="C18" s="229">
        <f>'DOE25'!G198+'DOE25'!G216+'DOE25'!G234+'DOE25'!G277+'DOE25'!G296+'DOE25'!G315</f>
        <v>438477.66</v>
      </c>
    </row>
    <row r="19" spans="1:3" x14ac:dyDescent="0.2">
      <c r="A19" t="s">
        <v>775</v>
      </c>
      <c r="B19" s="240">
        <v>546911.88</v>
      </c>
      <c r="C19" s="240">
        <v>236504.93</v>
      </c>
    </row>
    <row r="20" spans="1:3" x14ac:dyDescent="0.2">
      <c r="A20" t="s">
        <v>776</v>
      </c>
      <c r="B20" s="240">
        <f>465561.19+18915</f>
        <v>484476.19</v>
      </c>
      <c r="C20" s="240">
        <f>1520.12+103202.45</f>
        <v>104722.56999999999</v>
      </c>
    </row>
    <row r="21" spans="1:3" x14ac:dyDescent="0.2">
      <c r="A21" t="s">
        <v>777</v>
      </c>
      <c r="B21" s="240">
        <f>47745.88+80864+39702.1</f>
        <v>168311.98</v>
      </c>
      <c r="C21" s="240">
        <f>26856.75+32614.44+37778.97</f>
        <v>97250.16</v>
      </c>
    </row>
    <row r="22" spans="1:3" x14ac:dyDescent="0.2">
      <c r="A22" t="str">
        <f>IF(B18=B22,IF(C18=C22,"Check Total OK","Check Total Error"),"Check Total Error")</f>
        <v>Check Total OK</v>
      </c>
      <c r="B22" s="231">
        <f>SUM(B19:B21)</f>
        <v>1199700.05</v>
      </c>
      <c r="C22" s="231">
        <f>SUM(C19:C21)</f>
        <v>438477.66000000003</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42273</v>
      </c>
      <c r="C36" s="235">
        <f>'DOE25'!G200+'DOE25'!G218+'DOE25'!G236+'DOE25'!G279+'DOE25'!G298+'DOE25'!G317</f>
        <v>10572.48</v>
      </c>
    </row>
    <row r="37" spans="1:3" x14ac:dyDescent="0.2">
      <c r="A37" t="s">
        <v>775</v>
      </c>
      <c r="B37" s="240"/>
      <c r="C37" s="240"/>
    </row>
    <row r="38" spans="1:3" x14ac:dyDescent="0.2">
      <c r="A38" t="s">
        <v>776</v>
      </c>
      <c r="B38" s="240"/>
      <c r="C38" s="240"/>
    </row>
    <row r="39" spans="1:3" x14ac:dyDescent="0.2">
      <c r="A39" t="s">
        <v>777</v>
      </c>
      <c r="B39" s="240">
        <v>42273</v>
      </c>
      <c r="C39" s="240">
        <v>10572.48</v>
      </c>
    </row>
    <row r="40" spans="1:3" x14ac:dyDescent="0.2">
      <c r="A40" t="str">
        <f>IF(B36=B40,IF(C36=C40,"Check Total OK","Check Total Error"),"Check Total Error")</f>
        <v>Check Total OK</v>
      </c>
      <c r="B40" s="231">
        <f>SUM(B37:B39)</f>
        <v>42273</v>
      </c>
      <c r="C40" s="231">
        <f>SUM(C37:C39)</f>
        <v>10572.48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NORTH HAMPTON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5830770.3099999996</v>
      </c>
      <c r="D5" s="20">
        <f>SUM('DOE25'!L197:L200)+SUM('DOE25'!L215:L218)+SUM('DOE25'!L233:L236)-F5-G5-H5</f>
        <v>5580557.0099999998</v>
      </c>
      <c r="E5" s="243"/>
      <c r="F5" s="244">
        <v>234713.3</v>
      </c>
      <c r="G5" s="53">
        <f>SUM('DOE25'!J197:J200)+SUM('DOE25'!J215:J218)+SUM('DOE25'!J233:J236)</f>
        <v>13398.5</v>
      </c>
      <c r="H5" s="53">
        <f>SUM('DOE25'!K197:K200)+SUM('DOE25'!K215:K218)+SUM('DOE25'!K233:K236)</f>
        <v>2101.5</v>
      </c>
      <c r="I5" s="256"/>
    </row>
    <row r="6" spans="1:9" x14ac:dyDescent="0.2">
      <c r="A6" s="32">
        <v>2100</v>
      </c>
      <c r="B6" t="s">
        <v>796</v>
      </c>
      <c r="C6" s="276">
        <f t="shared" si="0"/>
        <v>365840.55</v>
      </c>
      <c r="D6" s="20">
        <f>'DOE25'!L202+'DOE25'!L220+'DOE25'!L238-F6-G6-H6</f>
        <v>365300.95</v>
      </c>
      <c r="E6" s="243"/>
      <c r="F6" s="244">
        <v>0</v>
      </c>
      <c r="G6" s="53">
        <f>'DOE25'!J202+'DOE25'!J220+'DOE25'!J238</f>
        <v>539.6</v>
      </c>
      <c r="H6" s="53">
        <f>'DOE25'!K202+'DOE25'!K220+'DOE25'!K238</f>
        <v>0</v>
      </c>
      <c r="I6" s="256"/>
    </row>
    <row r="7" spans="1:9" x14ac:dyDescent="0.2">
      <c r="A7" s="32">
        <v>2200</v>
      </c>
      <c r="B7" t="s">
        <v>821</v>
      </c>
      <c r="C7" s="276">
        <f t="shared" si="0"/>
        <v>545010.53</v>
      </c>
      <c r="D7" s="20">
        <f>'DOE25'!L203+'DOE25'!L221+'DOE25'!L239-F7-G7-H7</f>
        <v>472640.56000000006</v>
      </c>
      <c r="E7" s="243"/>
      <c r="F7" s="244">
        <v>0</v>
      </c>
      <c r="G7" s="53">
        <f>'DOE25'!J203+'DOE25'!J221+'DOE25'!J239</f>
        <v>72369.97</v>
      </c>
      <c r="H7" s="53">
        <f>'DOE25'!K203+'DOE25'!K221+'DOE25'!K239</f>
        <v>0</v>
      </c>
      <c r="I7" s="256"/>
    </row>
    <row r="8" spans="1:9" x14ac:dyDescent="0.2">
      <c r="A8" s="32">
        <v>2300</v>
      </c>
      <c r="B8" t="s">
        <v>797</v>
      </c>
      <c r="C8" s="276">
        <f t="shared" si="0"/>
        <v>148557.06999999998</v>
      </c>
      <c r="D8" s="243"/>
      <c r="E8" s="20">
        <f>'DOE25'!L204+'DOE25'!L222+'DOE25'!L240-F8-G8-H8-D9-D11</f>
        <v>143802.52999999997</v>
      </c>
      <c r="F8" s="244">
        <v>0</v>
      </c>
      <c r="G8" s="53">
        <f>'DOE25'!J204+'DOE25'!J222+'DOE25'!J240</f>
        <v>0</v>
      </c>
      <c r="H8" s="53">
        <f>'DOE25'!K204+'DOE25'!K222+'DOE25'!K240</f>
        <v>4754.54</v>
      </c>
      <c r="I8" s="256"/>
    </row>
    <row r="9" spans="1:9" ht="14.25" x14ac:dyDescent="0.2">
      <c r="A9" s="32">
        <v>2310</v>
      </c>
      <c r="B9" s="185" t="s">
        <v>890</v>
      </c>
      <c r="C9" s="276">
        <f t="shared" si="0"/>
        <v>57434.78</v>
      </c>
      <c r="D9" s="244">
        <v>57434.78</v>
      </c>
      <c r="E9" s="243"/>
      <c r="F9" s="253"/>
      <c r="G9" s="253"/>
      <c r="H9" s="253"/>
      <c r="I9" s="256"/>
    </row>
    <row r="10" spans="1:9" ht="14.25" x14ac:dyDescent="0.2">
      <c r="A10" s="32">
        <v>2317</v>
      </c>
      <c r="B10" s="185" t="s">
        <v>891</v>
      </c>
      <c r="C10" s="276">
        <f t="shared" si="0"/>
        <v>7900</v>
      </c>
      <c r="D10" s="243"/>
      <c r="E10" s="244">
        <v>7900</v>
      </c>
      <c r="F10" s="253"/>
      <c r="G10" s="253"/>
      <c r="H10" s="253"/>
      <c r="I10" s="256"/>
    </row>
    <row r="11" spans="1:9" ht="14.25" x14ac:dyDescent="0.2">
      <c r="A11" s="32">
        <v>2321</v>
      </c>
      <c r="B11" s="185" t="s">
        <v>892</v>
      </c>
      <c r="C11" s="276">
        <f t="shared" si="0"/>
        <v>80702.350000000006</v>
      </c>
      <c r="D11" s="244">
        <v>80702.350000000006</v>
      </c>
      <c r="E11" s="243"/>
      <c r="F11" s="253"/>
      <c r="G11" s="253"/>
      <c r="H11" s="253"/>
      <c r="I11" s="256"/>
    </row>
    <row r="12" spans="1:9" x14ac:dyDescent="0.2">
      <c r="A12" s="32">
        <v>2400</v>
      </c>
      <c r="B12" t="s">
        <v>711</v>
      </c>
      <c r="C12" s="276">
        <f t="shared" si="0"/>
        <v>366828.43</v>
      </c>
      <c r="D12" s="20">
        <f>'DOE25'!L205+'DOE25'!L223+'DOE25'!L241-F12-G12-H12</f>
        <v>365833.43</v>
      </c>
      <c r="E12" s="243"/>
      <c r="F12" s="244">
        <v>0</v>
      </c>
      <c r="G12" s="53">
        <f>'DOE25'!J205+'DOE25'!J223+'DOE25'!J241</f>
        <v>0</v>
      </c>
      <c r="H12" s="53">
        <f>'DOE25'!K205+'DOE25'!K223+'DOE25'!K241</f>
        <v>995</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605610.10000000009</v>
      </c>
      <c r="D14" s="20">
        <f>'DOE25'!L207+'DOE25'!L225+'DOE25'!L243-F14-G14-H14</f>
        <v>586340.04</v>
      </c>
      <c r="E14" s="243"/>
      <c r="F14" s="244">
        <v>0</v>
      </c>
      <c r="G14" s="53">
        <f>'DOE25'!J207+'DOE25'!J225+'DOE25'!J243</f>
        <v>19270.060000000001</v>
      </c>
      <c r="H14" s="53">
        <f>'DOE25'!K207+'DOE25'!K225+'DOE25'!K243</f>
        <v>0</v>
      </c>
      <c r="I14" s="256"/>
    </row>
    <row r="15" spans="1:9" x14ac:dyDescent="0.2">
      <c r="A15" s="32">
        <v>2700</v>
      </c>
      <c r="B15" t="s">
        <v>799</v>
      </c>
      <c r="C15" s="276">
        <f t="shared" si="0"/>
        <v>451019.98999999993</v>
      </c>
      <c r="D15" s="20">
        <f>'DOE25'!L208+'DOE25'!L226+'DOE25'!L244-F15-G15-H15</f>
        <v>24999.999999999942</v>
      </c>
      <c r="E15" s="243"/>
      <c r="F15" s="244">
        <v>426019.99</v>
      </c>
      <c r="G15" s="53">
        <f>'DOE25'!J208+'DOE25'!J226+'DOE25'!J244</f>
        <v>0</v>
      </c>
      <c r="H15" s="53">
        <f>'DOE25'!K208+'DOE25'!K226+'DOE25'!K244</f>
        <v>0</v>
      </c>
      <c r="I15" s="256"/>
    </row>
    <row r="16" spans="1:9" x14ac:dyDescent="0.2">
      <c r="A16" s="32">
        <v>2800</v>
      </c>
      <c r="B16" t="s">
        <v>800</v>
      </c>
      <c r="C16" s="276">
        <f t="shared" si="0"/>
        <v>407</v>
      </c>
      <c r="D16" s="243"/>
      <c r="E16" s="20">
        <f>'DOE25'!L209+'DOE25'!L227+'DOE25'!L245-F16-G16-H16</f>
        <v>0</v>
      </c>
      <c r="F16" s="244">
        <v>0</v>
      </c>
      <c r="G16" s="53">
        <f>'DOE25'!J209+'DOE25'!J227+'DOE25'!J245</f>
        <v>0</v>
      </c>
      <c r="H16" s="53">
        <f>'DOE25'!K209+'DOE25'!K227+'DOE25'!K245</f>
        <v>407</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281556.5</v>
      </c>
      <c r="D22" s="243"/>
      <c r="E22" s="243"/>
      <c r="F22" s="243"/>
      <c r="G22" s="53">
        <f>'DOE25'!L255+'DOE25'!L336</f>
        <v>281556.5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134102.5</v>
      </c>
      <c r="D25" s="243"/>
      <c r="E25" s="243"/>
      <c r="F25" s="255"/>
      <c r="G25" s="253"/>
      <c r="H25" s="253"/>
      <c r="I25" s="254">
        <f>'DOE25'!L260+'DOE25'!L261+'DOE25'!L341+'DOE25'!L342</f>
        <v>134102.5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113971.76999999999</v>
      </c>
      <c r="D29" s="284">
        <f>'DOE25'!L358+'DOE25'!L359+'DOE25'!L360-'DOE25'!I367-F29-G29-H29</f>
        <v>102154.65999999999</v>
      </c>
      <c r="E29" s="243"/>
      <c r="F29" s="244">
        <v>0</v>
      </c>
      <c r="G29" s="53">
        <f>'DOE25'!J358+'DOE25'!J359+'DOE25'!J360</f>
        <v>10460.25</v>
      </c>
      <c r="H29" s="53">
        <f>'DOE25'!K358+'DOE25'!K359+'DOE25'!K360</f>
        <v>1356.8600000000001</v>
      </c>
      <c r="I29" s="256"/>
    </row>
    <row r="30" spans="1:9" x14ac:dyDescent="0.2">
      <c r="A30" s="32"/>
      <c r="C30" s="277"/>
      <c r="D30" s="20"/>
      <c r="E30" s="281"/>
      <c r="F30" s="271"/>
      <c r="G30" s="53"/>
      <c r="H30" s="53"/>
      <c r="I30" s="256"/>
    </row>
    <row r="31" spans="1:9" x14ac:dyDescent="0.2">
      <c r="A31" s="32" t="s">
        <v>818</v>
      </c>
      <c r="B31" t="s">
        <v>817</v>
      </c>
      <c r="C31" s="276">
        <f>SUM(D31:I31)</f>
        <v>126740.98999999999</v>
      </c>
      <c r="D31" s="20">
        <f>'DOE25'!L290+'DOE25'!L309+'DOE25'!L328+'DOE25'!L333+'DOE25'!L334+'DOE25'!L335-F31-G31-H31</f>
        <v>114664.95</v>
      </c>
      <c r="E31" s="243"/>
      <c r="F31" s="244">
        <v>0</v>
      </c>
      <c r="G31" s="53">
        <f>'DOE25'!J290+'DOE25'!J309+'DOE25'!J328+'DOE25'!J333+'DOE25'!J334+'DOE25'!J335</f>
        <v>9553.17</v>
      </c>
      <c r="H31" s="53">
        <f>'DOE25'!K290+'DOE25'!K309+'DOE25'!K328+'DOE25'!K333+'DOE25'!K334+'DOE25'!K335</f>
        <v>2522.87</v>
      </c>
      <c r="I31" s="256"/>
    </row>
    <row r="32" spans="1:9" ht="12" thickBot="1" x14ac:dyDescent="0.25">
      <c r="C32" s="277"/>
      <c r="G32" s="251"/>
      <c r="H32" s="251"/>
      <c r="I32" s="258"/>
    </row>
    <row r="33" spans="1:9" ht="12" thickTop="1" x14ac:dyDescent="0.2">
      <c r="B33" t="s">
        <v>809</v>
      </c>
      <c r="D33" s="245">
        <f t="shared" ref="D33:I33" si="1">SUM(D5:D31)</f>
        <v>7750628.7299999995</v>
      </c>
      <c r="E33" s="245">
        <f t="shared" si="1"/>
        <v>151702.52999999997</v>
      </c>
      <c r="F33" s="245">
        <f t="shared" si="1"/>
        <v>660733.29</v>
      </c>
      <c r="G33" s="245">
        <f t="shared" si="1"/>
        <v>407148.05</v>
      </c>
      <c r="H33" s="245">
        <f t="shared" si="1"/>
        <v>12137.77</v>
      </c>
      <c r="I33" s="245">
        <f t="shared" si="1"/>
        <v>134102.5</v>
      </c>
    </row>
    <row r="35" spans="1:9" ht="12" thickBot="1" x14ac:dyDescent="0.25">
      <c r="B35" s="251" t="s">
        <v>831</v>
      </c>
      <c r="D35" s="252">
        <f>E33</f>
        <v>151702.52999999997</v>
      </c>
      <c r="E35" s="248"/>
    </row>
    <row r="36" spans="1:9" ht="12" thickTop="1" x14ac:dyDescent="0.2">
      <c r="B36" t="s">
        <v>810</v>
      </c>
      <c r="D36" s="20">
        <f>D33</f>
        <v>7750628.7299999995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NORTH HAMPTON</v>
      </c>
      <c r="B2" s="126">
        <f>'DOE25'!B2</f>
        <v>405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8578922.0999999996</v>
      </c>
      <c r="G4" s="303">
        <f>'DOE25'!L211+'DOE25'!L290</f>
        <v>8578922.0999999996</v>
      </c>
      <c r="H4" s="304">
        <f>F4-G4</f>
        <v>0</v>
      </c>
      <c r="I4" s="310" t="str">
        <f>IF(H4=0,"","Does not match DOE25 page 7 and 11 Totals!!")</f>
        <v/>
      </c>
      <c r="N4"/>
    </row>
    <row r="5" spans="1:18" x14ac:dyDescent="0.2">
      <c r="A5" s="21" t="s">
        <v>1351</v>
      </c>
      <c r="B5" s="305">
        <f>IFERROR(VLOOKUP(A5,'School Tables'!$C$3:$D$368,2,FALSE),"")</f>
        <v>20805</v>
      </c>
      <c r="C5" s="297" t="str">
        <f>IFERROR(INDEX('School Tables'!$B$3:$B$368,MATCH('School Level Expenditures'!B5,'School Tables'!$D$3:$D$368,0)),"")</f>
        <v>North Hampton</v>
      </c>
      <c r="D5" s="294">
        <v>8340559.5800000001</v>
      </c>
      <c r="E5" s="294">
        <v>126740.99</v>
      </c>
      <c r="F5" s="313">
        <f>D5+E5</f>
        <v>8467300.5700000003</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111621.53</v>
      </c>
      <c r="E6" s="294"/>
      <c r="F6" s="308">
        <f t="shared" ref="F6:F20" si="0">D6+E6</f>
        <v>111621.53</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 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341304.38</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515655.75</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10609.09</v>
      </c>
      <c r="D11" s="95">
        <f>'DOE25'!G12</f>
        <v>0</v>
      </c>
      <c r="E11" s="95">
        <f>'DOE25'!H12</f>
        <v>0</v>
      </c>
      <c r="F11" s="95">
        <f>'DOE25'!I12</f>
        <v>0</v>
      </c>
      <c r="G11" s="95">
        <f>'DOE25'!J12</f>
        <v>0</v>
      </c>
      <c r="H11" s="124"/>
      <c r="I11" s="124"/>
    </row>
    <row r="12" spans="1:9" x14ac:dyDescent="0.2">
      <c r="A12" s="1" t="s">
        <v>143</v>
      </c>
      <c r="B12" s="6">
        <v>140</v>
      </c>
      <c r="C12" s="95">
        <f>'DOE25'!F13</f>
        <v>12964.57</v>
      </c>
      <c r="D12" s="95">
        <f>'DOE25'!G13</f>
        <v>1172.6600000000001</v>
      </c>
      <c r="E12" s="95">
        <f>'DOE25'!H13</f>
        <v>6352.21</v>
      </c>
      <c r="F12" s="95">
        <f>'DOE25'!I13</f>
        <v>0</v>
      </c>
      <c r="G12" s="95">
        <f>'DOE25'!J13</f>
        <v>0</v>
      </c>
      <c r="H12" s="124"/>
      <c r="I12" s="124"/>
    </row>
    <row r="13" spans="1:9" x14ac:dyDescent="0.2">
      <c r="A13" s="1" t="s">
        <v>144</v>
      </c>
      <c r="B13" s="6">
        <v>150</v>
      </c>
      <c r="C13" s="95">
        <f>'DOE25'!F14</f>
        <v>2309.1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6896.19</v>
      </c>
      <c r="E15" s="95">
        <f>'DOE25'!H16</f>
        <v>0</v>
      </c>
      <c r="F15" s="95">
        <f>'DOE25'!I16</f>
        <v>0</v>
      </c>
      <c r="G15" s="24" t="s">
        <v>288</v>
      </c>
      <c r="H15" s="124"/>
      <c r="I15" s="124"/>
    </row>
    <row r="16" spans="1:9" x14ac:dyDescent="0.2">
      <c r="A16" s="1" t="s">
        <v>147</v>
      </c>
      <c r="B16" s="6">
        <v>180</v>
      </c>
      <c r="C16" s="95">
        <f>'DOE25'!F17</f>
        <v>9291.15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376478.29000000004</v>
      </c>
      <c r="D18" s="41">
        <f>SUM(D8:D17)</f>
        <v>8068.8499999999995</v>
      </c>
      <c r="E18" s="41">
        <f>SUM(E8:E17)</f>
        <v>6352.21</v>
      </c>
      <c r="F18" s="41">
        <f>SUM(F8:F17)</f>
        <v>0</v>
      </c>
      <c r="G18" s="41">
        <f>SUM(G8:G17)</f>
        <v>515655.75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4257</v>
      </c>
      <c r="E22" s="95">
        <f>'DOE25'!H23</f>
        <v>6352.21</v>
      </c>
      <c r="F22" s="95">
        <f>'DOE25'!I23</f>
        <v>0</v>
      </c>
      <c r="G22" s="95">
        <f>'DOE25'!J23</f>
        <v>0</v>
      </c>
      <c r="H22" s="124"/>
      <c r="I22" s="124"/>
    </row>
    <row r="23" spans="1:9" x14ac:dyDescent="0.2">
      <c r="A23" s="1" t="s">
        <v>152</v>
      </c>
      <c r="B23" s="6">
        <v>420</v>
      </c>
      <c r="C23" s="95">
        <f>'DOE25'!F24</f>
        <v>10610.89</v>
      </c>
      <c r="D23" s="95">
        <f>'DOE25'!G24</f>
        <v>27</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6351.66</v>
      </c>
      <c r="D27" s="95">
        <f>'DOE25'!G28</f>
        <v>0</v>
      </c>
      <c r="E27" s="95">
        <f>'DOE25'!H28</f>
        <v>0</v>
      </c>
      <c r="F27" s="95">
        <f>'DOE25'!I28</f>
        <v>0</v>
      </c>
      <c r="G27" s="24" t="s">
        <v>288</v>
      </c>
      <c r="H27" s="124"/>
      <c r="I27" s="124"/>
    </row>
    <row r="28" spans="1:9" x14ac:dyDescent="0.2">
      <c r="A28" s="1" t="s">
        <v>157</v>
      </c>
      <c r="B28" s="6">
        <v>470</v>
      </c>
      <c r="C28" s="95">
        <f>'DOE25'!F29</f>
        <v>951.44</v>
      </c>
      <c r="D28" s="95">
        <f>'DOE25'!G29</f>
        <v>0</v>
      </c>
      <c r="E28" s="95">
        <f>'DOE25'!H29</f>
        <v>0</v>
      </c>
      <c r="F28" s="95">
        <f>'DOE25'!I29</f>
        <v>0</v>
      </c>
      <c r="G28" s="24" t="s">
        <v>288</v>
      </c>
      <c r="H28" s="124"/>
      <c r="I28" s="124"/>
    </row>
    <row r="29" spans="1:9" x14ac:dyDescent="0.2">
      <c r="A29" s="1" t="s">
        <v>158</v>
      </c>
      <c r="B29" s="6">
        <v>480</v>
      </c>
      <c r="C29" s="95">
        <f>'DOE25'!F30</f>
        <v>0</v>
      </c>
      <c r="D29" s="95">
        <f>'DOE25'!G30</f>
        <v>3784.8500000000004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17913.989999999998</v>
      </c>
      <c r="D31" s="41">
        <f>SUM(D21:D30)</f>
        <v>8068.85</v>
      </c>
      <c r="E31" s="41">
        <f>SUM(E21:E30)</f>
        <v>6352.21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6896.19</v>
      </c>
      <c r="E34" s="95">
        <f>'DOE25'!H35</f>
        <v>0</v>
      </c>
      <c r="F34" s="95">
        <f>'DOE25'!I35</f>
        <v>0</v>
      </c>
      <c r="G34" s="24" t="s">
        <v>288</v>
      </c>
      <c r="H34" s="124"/>
      <c r="I34" s="124"/>
    </row>
    <row r="35" spans="1:9" x14ac:dyDescent="0.2">
      <c r="A35" s="1" t="s">
        <v>850</v>
      </c>
      <c r="B35" s="6">
        <v>752</v>
      </c>
      <c r="C35" s="95">
        <f>'DOE25'!F36</f>
        <v>9291.15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-6896.19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12163.43</v>
      </c>
      <c r="D47" s="95">
        <f>'DOE25'!G48</f>
        <v>0</v>
      </c>
      <c r="E47" s="95">
        <f>'DOE25'!H48</f>
        <v>0</v>
      </c>
      <c r="F47" s="95">
        <f>'DOE25'!I48</f>
        <v>0</v>
      </c>
      <c r="G47" s="95">
        <f>'DOE25'!J48</f>
        <v>515655.75</v>
      </c>
      <c r="H47" s="124"/>
      <c r="I47" s="124"/>
    </row>
    <row r="48" spans="1:9" x14ac:dyDescent="0.2">
      <c r="A48" s="1" t="s">
        <v>882</v>
      </c>
      <c r="B48" s="6">
        <v>753</v>
      </c>
      <c r="C48" s="95">
        <f>'DOE25'!F49</f>
        <v>11432.72</v>
      </c>
      <c r="D48" s="95">
        <f>'DOE25'!G49</f>
        <v>0</v>
      </c>
      <c r="E48" s="95">
        <f>'DOE25'!H49</f>
        <v>0</v>
      </c>
      <c r="F48" s="95">
        <f>'DOE25'!I49</f>
        <v>0</v>
      </c>
      <c r="G48" s="95">
        <f>'DOE25'!J49</f>
        <v>0</v>
      </c>
      <c r="H48" s="124"/>
      <c r="I48" s="124"/>
    </row>
    <row r="49" spans="1:9" ht="12" thickBot="1" x14ac:dyDescent="0.25">
      <c r="A49" s="29" t="s">
        <v>883</v>
      </c>
      <c r="B49" s="71">
        <v>770</v>
      </c>
      <c r="C49" s="95">
        <f>'DOE25'!F50</f>
        <v>150677</v>
      </c>
      <c r="D49" s="24" t="s">
        <v>288</v>
      </c>
      <c r="E49" s="24" t="s">
        <v>288</v>
      </c>
      <c r="F49" s="24" t="s">
        <v>288</v>
      </c>
      <c r="G49" s="24" t="s">
        <v>288</v>
      </c>
      <c r="H49" s="124"/>
      <c r="I49" s="124"/>
    </row>
    <row r="50" spans="1:9" ht="12.75" thickTop="1" thickBot="1" x14ac:dyDescent="0.25">
      <c r="A50" s="38" t="s">
        <v>884</v>
      </c>
      <c r="B50" s="48"/>
      <c r="C50" s="41">
        <f>SUM(C34:C49)</f>
        <v>358564.3</v>
      </c>
      <c r="D50" s="41">
        <f>SUM(D34:D49)</f>
        <v>0</v>
      </c>
      <c r="E50" s="41">
        <f>SUM(E34:E49)</f>
        <v>0</v>
      </c>
      <c r="F50" s="41">
        <f>SUM(F34:F49)</f>
        <v>0</v>
      </c>
      <c r="G50" s="41">
        <f>SUM(G34:G49)</f>
        <v>515655.75</v>
      </c>
      <c r="H50" s="124"/>
      <c r="I50" s="124"/>
    </row>
    <row r="51" spans="1:9" ht="12" thickTop="1" x14ac:dyDescent="0.2">
      <c r="A51" s="38" t="s">
        <v>885</v>
      </c>
      <c r="B51" s="2"/>
      <c r="C51" s="41">
        <f>C50+C31</f>
        <v>376478.29</v>
      </c>
      <c r="D51" s="41">
        <f>D50+D31</f>
        <v>8068.85</v>
      </c>
      <c r="E51" s="41">
        <f>E50+E31</f>
        <v>6352.21</v>
      </c>
      <c r="F51" s="41">
        <f>F50+F31</f>
        <v>0</v>
      </c>
      <c r="G51" s="41">
        <f>G50+G31</f>
        <v>515655.75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7055709</v>
      </c>
      <c r="D56" s="95">
        <f>'DOE25'!G60</f>
        <v>0</v>
      </c>
      <c r="E56" s="95">
        <f>'DOE25'!H60</f>
        <v>0</v>
      </c>
      <c r="F56" s="95">
        <f>'DOE25'!I60</f>
        <v>0</v>
      </c>
      <c r="G56" s="95">
        <f>'DOE25'!J60</f>
        <v>0</v>
      </c>
      <c r="H56"/>
      <c r="I56"/>
    </row>
    <row r="57" spans="1:9" x14ac:dyDescent="0.2">
      <c r="A57" s="1" t="s">
        <v>164</v>
      </c>
      <c r="B57" s="6" t="s">
        <v>165</v>
      </c>
      <c r="C57" s="95">
        <f>'DOE25'!F79</f>
        <v>65247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7723.29</v>
      </c>
      <c r="D59" s="95">
        <f>'DOE25'!G96</f>
        <v>0</v>
      </c>
      <c r="E59" s="95">
        <f>'DOE25'!H96</f>
        <v>0</v>
      </c>
      <c r="F59" s="95">
        <f>'DOE25'!I96</f>
        <v>0</v>
      </c>
      <c r="G59" s="95">
        <f>'DOE25'!J96</f>
        <v>8391.7099999999991</v>
      </c>
      <c r="H59"/>
      <c r="I59"/>
    </row>
    <row r="60" spans="1:9" x14ac:dyDescent="0.2">
      <c r="A60" s="1" t="s">
        <v>170</v>
      </c>
      <c r="B60" s="118" t="s">
        <v>171</v>
      </c>
      <c r="C60" s="24" t="s">
        <v>288</v>
      </c>
      <c r="D60" s="95">
        <f>'DOE25'!G97</f>
        <v>108227.26</v>
      </c>
      <c r="E60" s="24" t="s">
        <v>288</v>
      </c>
      <c r="F60" s="24" t="s">
        <v>288</v>
      </c>
      <c r="G60" s="24" t="s">
        <v>288</v>
      </c>
      <c r="H60"/>
      <c r="I60"/>
    </row>
    <row r="61" spans="1:9" ht="12" thickBot="1" x14ac:dyDescent="0.25">
      <c r="A61" s="1" t="s">
        <v>172</v>
      </c>
      <c r="B61" s="118" t="s">
        <v>173</v>
      </c>
      <c r="C61" s="95">
        <f>SUM('DOE25'!F98:F110)</f>
        <v>25882.19</v>
      </c>
      <c r="D61" s="95">
        <f>SUM('DOE25'!G98:G110)</f>
        <v>2400</v>
      </c>
      <c r="E61" s="95">
        <f>SUM('DOE25'!H98:H110)</f>
        <v>0</v>
      </c>
      <c r="F61" s="95">
        <f>SUM('DOE25'!I98:I110)</f>
        <v>0</v>
      </c>
      <c r="G61" s="95">
        <f>SUM('DOE25'!J98:J110)</f>
        <v>0</v>
      </c>
      <c r="H61"/>
      <c r="I61"/>
    </row>
    <row r="62" spans="1:9" ht="12.75" thickTop="1" thickBot="1" x14ac:dyDescent="0.25">
      <c r="A62" s="29" t="s">
        <v>174</v>
      </c>
      <c r="B62" s="6"/>
      <c r="C62" s="130">
        <f>SUM(C57:C61)</f>
        <v>98852.479999999996</v>
      </c>
      <c r="D62" s="130">
        <f>SUM(D57:D61)</f>
        <v>110627.26</v>
      </c>
      <c r="E62" s="130">
        <f>SUM(E57:E61)</f>
        <v>0</v>
      </c>
      <c r="F62" s="130">
        <f>SUM(F57:F61)</f>
        <v>0</v>
      </c>
      <c r="G62" s="130">
        <f>SUM(G57:G61)</f>
        <v>8391.7099999999991</v>
      </c>
      <c r="H62"/>
      <c r="I62"/>
    </row>
    <row r="63" spans="1:9" ht="12" thickTop="1" x14ac:dyDescent="0.2">
      <c r="A63" s="29" t="s">
        <v>175</v>
      </c>
      <c r="B63" s="6"/>
      <c r="C63" s="22">
        <f>C56+C62</f>
        <v>7154561.4800000004</v>
      </c>
      <c r="D63" s="22">
        <f>D56+D62</f>
        <v>110627.26</v>
      </c>
      <c r="E63" s="22">
        <f>E56+E62</f>
        <v>0</v>
      </c>
      <c r="F63" s="22">
        <f>F56+F62</f>
        <v>0</v>
      </c>
      <c r="G63" s="22">
        <f>G56+G62</f>
        <v>8391.7099999999991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1785626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841.12</v>
      </c>
      <c r="D69" s="95">
        <f>'DOE25'!G120</f>
        <v>0</v>
      </c>
      <c r="E69" s="95">
        <f>'DOE25'!H120</f>
        <v>0</v>
      </c>
      <c r="F69" s="95">
        <f>'DOE25'!I120</f>
        <v>0</v>
      </c>
      <c r="G69" s="95">
        <f>'DOE25'!J120</f>
        <v>0</v>
      </c>
      <c r="H69"/>
      <c r="I69"/>
    </row>
    <row r="70" spans="1:9" ht="12" thickTop="1" x14ac:dyDescent="0.2">
      <c r="A70" s="29" t="s">
        <v>252</v>
      </c>
      <c r="B70" s="2"/>
      <c r="C70" s="139">
        <f>SUM(C66:C69)</f>
        <v>1786467.12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39208.51</v>
      </c>
      <c r="D74" s="24"/>
      <c r="E74" s="24"/>
      <c r="F74" s="24"/>
      <c r="G74" s="24"/>
      <c r="H74"/>
      <c r="I74"/>
    </row>
    <row r="75" spans="1:9" x14ac:dyDescent="0.2">
      <c r="A75" s="1" t="s">
        <v>256</v>
      </c>
      <c r="B75" s="6">
        <v>3230</v>
      </c>
      <c r="C75" s="95">
        <f>'DOE25'!F126</f>
        <v>67968.990000000005</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12000</v>
      </c>
      <c r="D77" s="95">
        <f>SUM('DOE25'!G131:G135)</f>
        <v>2005.93</v>
      </c>
      <c r="E77" s="95">
        <f>SUM('DOE25'!H131:H135)</f>
        <v>0</v>
      </c>
      <c r="F77" s="95">
        <f>SUM('DOE25'!I131:I135)</f>
        <v>0</v>
      </c>
      <c r="G77" s="95">
        <f>SUM('DOE25'!J131:J135)</f>
        <v>0</v>
      </c>
      <c r="H77"/>
      <c r="I77"/>
    </row>
    <row r="78" spans="1:9" ht="12.75" thickTop="1" thickBot="1" x14ac:dyDescent="0.25">
      <c r="A78" s="29" t="s">
        <v>259</v>
      </c>
      <c r="B78" s="6"/>
      <c r="C78" s="130">
        <f>SUM(C72:C77)</f>
        <v>119177.5</v>
      </c>
      <c r="D78" s="130">
        <f>SUM(D72:D77)</f>
        <v>2005.93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1905644.62</v>
      </c>
      <c r="D81" s="130">
        <f>SUM(D79:D80)+D78+D70</f>
        <v>2005.93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26068.19</v>
      </c>
      <c r="D87" s="24" t="s">
        <v>288</v>
      </c>
      <c r="E87" s="95">
        <f>SUM('DOE25'!H149:H152)</f>
        <v>0</v>
      </c>
      <c r="F87" s="95">
        <f>SUM('DOE25'!I149:I152)</f>
        <v>0</v>
      </c>
      <c r="G87" s="24" t="s">
        <v>288</v>
      </c>
    </row>
    <row r="88" spans="1:9" x14ac:dyDescent="0.2">
      <c r="A88" t="s">
        <v>747</v>
      </c>
      <c r="B88" s="32" t="s">
        <v>184</v>
      </c>
      <c r="C88" s="95">
        <f>SUM('DOE25'!F153:F161)</f>
        <v>55713.34</v>
      </c>
      <c r="D88" s="95">
        <f>SUM('DOE25'!G153:G161)</f>
        <v>28783.919999999998</v>
      </c>
      <c r="E88" s="95">
        <f>SUM('DOE25'!H153:H161)</f>
        <v>126740.99</v>
      </c>
      <c r="F88" s="95">
        <f>SUM('DOE25'!I153:I161)</f>
        <v>0</v>
      </c>
      <c r="G88" s="24" t="s">
        <v>288</v>
      </c>
    </row>
    <row r="89" spans="1:9" x14ac:dyDescent="0.2">
      <c r="A89" t="s">
        <v>748</v>
      </c>
      <c r="B89" s="32" t="s">
        <v>185</v>
      </c>
      <c r="C89" s="95">
        <f>'DOE25'!F163+'DOE25'!F166+'DOE25'!F168</f>
        <v>0</v>
      </c>
      <c r="D89" s="95">
        <f>'DOE25'!G163+'DOE25'!G168</f>
        <v>11944.75</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81781.53</v>
      </c>
      <c r="D91" s="131">
        <f>SUM(D85:D90)</f>
        <v>40728.67</v>
      </c>
      <c r="E91" s="131">
        <f>SUM(E85:E90)</f>
        <v>126740.99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20960</v>
      </c>
      <c r="E96" s="95">
        <f>'DOE25'!H179</f>
        <v>0</v>
      </c>
      <c r="F96" s="95">
        <f>'DOE25'!I179</f>
        <v>0</v>
      </c>
      <c r="G96" s="95">
        <f>'DOE25'!J179</f>
        <v>175000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161361.24</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161361.24</v>
      </c>
      <c r="D103" s="86">
        <f>SUM(D93:D102)</f>
        <v>20960</v>
      </c>
      <c r="E103" s="86">
        <f>SUM(E93:E102)</f>
        <v>0</v>
      </c>
      <c r="F103" s="86">
        <f>SUM(F93:F102)</f>
        <v>0</v>
      </c>
      <c r="G103" s="86">
        <f>SUM(G93:G102)</f>
        <v>175000</v>
      </c>
    </row>
    <row r="104" spans="1:7" ht="12.75" thickTop="1" thickBot="1" x14ac:dyDescent="0.25">
      <c r="A104" s="33" t="s">
        <v>761</v>
      </c>
      <c r="C104" s="86">
        <f>C63+C81+C91+C103</f>
        <v>9303348.870000001</v>
      </c>
      <c r="D104" s="86">
        <f>D63+D81+D91+D103</f>
        <v>174321.86</v>
      </c>
      <c r="E104" s="86">
        <f>E63+E81+E91+E103</f>
        <v>126740.99</v>
      </c>
      <c r="F104" s="86">
        <f>F63+F81+F91+F103</f>
        <v>0</v>
      </c>
      <c r="G104" s="86">
        <f>G63+G81+G103</f>
        <v>183391.71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3702400.01</v>
      </c>
      <c r="D109" s="24" t="s">
        <v>288</v>
      </c>
      <c r="E109" s="95">
        <f>('DOE25'!L276)+('DOE25'!L295)+('DOE25'!L314)</f>
        <v>20912.920000000002</v>
      </c>
      <c r="F109" s="24" t="s">
        <v>288</v>
      </c>
      <c r="G109" s="24" t="s">
        <v>288</v>
      </c>
    </row>
    <row r="110" spans="1:7" x14ac:dyDescent="0.2">
      <c r="A110" t="s">
        <v>198</v>
      </c>
      <c r="B110" s="32" t="s">
        <v>199</v>
      </c>
      <c r="C110" s="95">
        <f>('DOE25'!L198)+('DOE25'!L216)+('DOE25'!L234)</f>
        <v>2044776.8800000001</v>
      </c>
      <c r="D110" s="24" t="s">
        <v>288</v>
      </c>
      <c r="E110" s="95">
        <f>('DOE25'!L277)+('DOE25'!L296)+('DOE25'!L315)</f>
        <v>81017.06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83593.419999999984</v>
      </c>
      <c r="D112" s="24" t="s">
        <v>288</v>
      </c>
      <c r="E112" s="95">
        <f>+('DOE25'!L279)+('DOE25'!L298)+('DOE25'!L317)</f>
        <v>3025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5830770.3099999996</v>
      </c>
      <c r="D115" s="86">
        <f>SUM(D109:D114)</f>
        <v>0</v>
      </c>
      <c r="E115" s="86">
        <f>SUM(E109:E114)</f>
        <v>104954.98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365840.55</v>
      </c>
      <c r="D118" s="24" t="s">
        <v>288</v>
      </c>
      <c r="E118" s="95">
        <f>+('DOE25'!L281)+('DOE25'!L300)+('DOE25'!L319)</f>
        <v>0</v>
      </c>
      <c r="F118" s="24" t="s">
        <v>288</v>
      </c>
      <c r="G118" s="24" t="s">
        <v>288</v>
      </c>
    </row>
    <row r="119" spans="1:7" x14ac:dyDescent="0.2">
      <c r="A119" t="s">
        <v>208</v>
      </c>
      <c r="B119" s="32" t="s">
        <v>209</v>
      </c>
      <c r="C119" s="95">
        <f>('DOE25'!L203)+('DOE25'!L221)+('DOE25'!L239)</f>
        <v>545010.53</v>
      </c>
      <c r="D119" s="24" t="s">
        <v>288</v>
      </c>
      <c r="E119" s="95">
        <f>+('DOE25'!L282)+('DOE25'!L301)+('DOE25'!L320)</f>
        <v>17538</v>
      </c>
      <c r="F119" s="24" t="s">
        <v>288</v>
      </c>
      <c r="G119" s="24" t="s">
        <v>288</v>
      </c>
    </row>
    <row r="120" spans="1:7" x14ac:dyDescent="0.2">
      <c r="A120" t="s">
        <v>210</v>
      </c>
      <c r="B120" s="32" t="s">
        <v>211</v>
      </c>
      <c r="C120" s="95">
        <f>('DOE25'!L204)+('DOE25'!L222)+('DOE25'!L240)</f>
        <v>286694.19999999995</v>
      </c>
      <c r="D120" s="24" t="s">
        <v>288</v>
      </c>
      <c r="E120" s="95">
        <f>+('DOE25'!L283)+('DOE25'!L302)+('DOE25'!L321)</f>
        <v>4248.01</v>
      </c>
      <c r="F120" s="24" t="s">
        <v>288</v>
      </c>
      <c r="G120" s="24" t="s">
        <v>288</v>
      </c>
    </row>
    <row r="121" spans="1:7" x14ac:dyDescent="0.2">
      <c r="A121" t="s">
        <v>212</v>
      </c>
      <c r="B121" s="32" t="s">
        <v>213</v>
      </c>
      <c r="C121" s="95">
        <f>('DOE25'!L205)+('DOE25'!L223)+('DOE25'!L241)</f>
        <v>366828.43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605610.10000000009</v>
      </c>
      <c r="D123" s="24" t="s">
        <v>288</v>
      </c>
      <c r="E123" s="95">
        <f>+('DOE25'!L286)+('DOE25'!L305)+('DOE25'!L324)</f>
        <v>0</v>
      </c>
      <c r="F123" s="24" t="s">
        <v>288</v>
      </c>
      <c r="G123" s="24" t="s">
        <v>288</v>
      </c>
    </row>
    <row r="124" spans="1:7" x14ac:dyDescent="0.2">
      <c r="A124" t="s">
        <v>218</v>
      </c>
      <c r="B124" s="32" t="s">
        <v>219</v>
      </c>
      <c r="C124" s="95">
        <f>('DOE25'!L208)+('DOE25'!L226)+('DOE25'!L244+'DOE25'!L254)</f>
        <v>451019.98999999993</v>
      </c>
      <c r="D124" s="24" t="s">
        <v>288</v>
      </c>
      <c r="E124" s="95">
        <f>+('DOE25'!L287)+('DOE25'!L306)+('DOE25'!L325)</f>
        <v>0</v>
      </c>
      <c r="F124" s="24" t="s">
        <v>288</v>
      </c>
      <c r="G124" s="24" t="s">
        <v>288</v>
      </c>
    </row>
    <row r="125" spans="1:7" x14ac:dyDescent="0.2">
      <c r="A125" t="s">
        <v>220</v>
      </c>
      <c r="B125" s="32" t="s">
        <v>221</v>
      </c>
      <c r="C125" s="95">
        <f>('DOE25'!L209)+('DOE25'!L227)+('DOE25'!L245)</f>
        <v>407</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174321.86</v>
      </c>
      <c r="E127" s="24" t="s">
        <v>288</v>
      </c>
      <c r="F127" s="24" t="s">
        <v>288</v>
      </c>
      <c r="G127" s="24" t="s">
        <v>288</v>
      </c>
    </row>
    <row r="128" spans="1:7" ht="12.75" thickTop="1" thickBot="1" x14ac:dyDescent="0.25">
      <c r="A128" s="33" t="s">
        <v>226</v>
      </c>
      <c r="C128" s="86">
        <f>SUM(C118:C127)</f>
        <v>2621410.7999999998</v>
      </c>
      <c r="D128" s="86">
        <f>SUM(D118:D127)</f>
        <v>174321.86</v>
      </c>
      <c r="E128" s="86">
        <f>SUM(E118:E127)</f>
        <v>21786.010000000002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281556.5</v>
      </c>
      <c r="D130" s="24" t="s">
        <v>288</v>
      </c>
      <c r="E130" s="129">
        <f>'DOE25'!L336</f>
        <v>0</v>
      </c>
      <c r="F130" s="129">
        <f>SUM('DOE25'!L374:'DOE25'!L380)</f>
        <v>0</v>
      </c>
      <c r="G130" s="24" t="s">
        <v>288</v>
      </c>
    </row>
    <row r="131" spans="1:7" x14ac:dyDescent="0.2">
      <c r="A131" t="s">
        <v>229</v>
      </c>
      <c r="B131" s="32">
        <v>5110</v>
      </c>
      <c r="C131" s="95">
        <f>'DOE25'!L260</f>
        <v>100000</v>
      </c>
      <c r="D131" s="24" t="s">
        <v>288</v>
      </c>
      <c r="E131" s="129">
        <f>'DOE25'!L341</f>
        <v>0</v>
      </c>
      <c r="F131" s="24" t="s">
        <v>288</v>
      </c>
      <c r="G131" s="24" t="s">
        <v>288</v>
      </c>
    </row>
    <row r="132" spans="1:7" x14ac:dyDescent="0.2">
      <c r="A132" t="s">
        <v>230</v>
      </c>
      <c r="B132" s="32">
        <v>5120</v>
      </c>
      <c r="C132" s="95">
        <f>'DOE25'!L261</f>
        <v>34102.5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161361.24</v>
      </c>
    </row>
    <row r="135" spans="1:7" x14ac:dyDescent="0.2">
      <c r="A135" t="s">
        <v>233</v>
      </c>
      <c r="B135" s="32" t="s">
        <v>234</v>
      </c>
      <c r="C135" s="95">
        <f>'DOE25'!L263</f>
        <v>20960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4.68</v>
      </c>
      <c r="D138" s="24" t="s">
        <v>288</v>
      </c>
      <c r="E138" s="24" t="s">
        <v>288</v>
      </c>
      <c r="F138" s="24" t="s">
        <v>288</v>
      </c>
      <c r="G138" s="24" t="s">
        <v>288</v>
      </c>
    </row>
    <row r="139" spans="1:7" x14ac:dyDescent="0.2">
      <c r="A139" t="s">
        <v>239</v>
      </c>
      <c r="B139" s="32">
        <v>5252</v>
      </c>
      <c r="C139" s="95">
        <f>'DOE25'!L401</f>
        <v>183387.03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-8391.7099999999919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611619</v>
      </c>
      <c r="D144" s="141">
        <f>SUM(D130:D143)</f>
        <v>0</v>
      </c>
      <c r="E144" s="141">
        <f>SUM(E130:E143)</f>
        <v>0</v>
      </c>
      <c r="F144" s="141">
        <f>SUM(F130:F143)</f>
        <v>0</v>
      </c>
      <c r="G144" s="141">
        <f>SUM(G130:G143)</f>
        <v>161361.24</v>
      </c>
    </row>
    <row r="145" spans="1:9" ht="12.75" thickTop="1" thickBot="1" x14ac:dyDescent="0.25">
      <c r="A145" s="33" t="s">
        <v>244</v>
      </c>
      <c r="C145" s="86">
        <f>(C115+C128+C144)</f>
        <v>9063800.1099999994</v>
      </c>
      <c r="D145" s="86">
        <f>(D115+D128+D144)</f>
        <v>174321.86</v>
      </c>
      <c r="E145" s="86">
        <f>(E115+E128+E144)</f>
        <v>126740.98999999999</v>
      </c>
      <c r="F145" s="86">
        <f>(F115+F128+F144)</f>
        <v>0</v>
      </c>
      <c r="G145" s="86">
        <f>(G115+G128+G144)</f>
        <v>161361.24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August 2013</v>
      </c>
      <c r="C152" s="152">
        <f>'DOE25'!G491</f>
        <v>0</v>
      </c>
      <c r="D152" s="152">
        <f>'DOE25'!H491</f>
        <v>0</v>
      </c>
      <c r="E152" s="152">
        <f>'DOE25'!I491</f>
        <v>0</v>
      </c>
      <c r="F152" s="152">
        <f>'DOE25'!J491</f>
        <v>0</v>
      </c>
      <c r="G152" s="24" t="s">
        <v>288</v>
      </c>
    </row>
    <row r="153" spans="1:9" x14ac:dyDescent="0.2">
      <c r="A153" s="136" t="s">
        <v>29</v>
      </c>
      <c r="B153" s="152" t="str">
        <f>'DOE25'!F492</f>
        <v>August 2023</v>
      </c>
      <c r="C153" s="152">
        <f>'DOE25'!G492</f>
        <v>0</v>
      </c>
      <c r="D153" s="152">
        <f>'DOE25'!H492</f>
        <v>0</v>
      </c>
      <c r="E153" s="152">
        <f>'DOE25'!I492</f>
        <v>0</v>
      </c>
      <c r="F153" s="152">
        <f>'DOE25'!J492</f>
        <v>0</v>
      </c>
      <c r="G153" s="24" t="s">
        <v>288</v>
      </c>
    </row>
    <row r="154" spans="1:9" x14ac:dyDescent="0.2">
      <c r="A154" s="136" t="s">
        <v>30</v>
      </c>
      <c r="B154" s="137">
        <f>'DOE25'!F493</f>
        <v>1200000</v>
      </c>
      <c r="C154" s="137">
        <f>'DOE25'!G493</f>
        <v>0</v>
      </c>
      <c r="D154" s="137">
        <f>'DOE25'!H493</f>
        <v>0</v>
      </c>
      <c r="E154" s="137">
        <f>'DOE25'!I493</f>
        <v>0</v>
      </c>
      <c r="F154" s="137">
        <f>'DOE25'!J493</f>
        <v>0</v>
      </c>
      <c r="G154" s="24" t="s">
        <v>288</v>
      </c>
    </row>
    <row r="155" spans="1:9" x14ac:dyDescent="0.2">
      <c r="A155" s="136" t="s">
        <v>31</v>
      </c>
      <c r="B155" s="137">
        <f>'DOE25'!F494</f>
        <v>2.61</v>
      </c>
      <c r="C155" s="137">
        <f>'DOE25'!G494</f>
        <v>0</v>
      </c>
      <c r="D155" s="137">
        <f>'DOE25'!H494</f>
        <v>0</v>
      </c>
      <c r="E155" s="137">
        <f>'DOE25'!I494</f>
        <v>0</v>
      </c>
      <c r="F155" s="137">
        <f>'DOE25'!J494</f>
        <v>0</v>
      </c>
      <c r="G155" s="24" t="s">
        <v>288</v>
      </c>
    </row>
    <row r="156" spans="1:9" x14ac:dyDescent="0.2">
      <c r="A156" s="22" t="s">
        <v>32</v>
      </c>
      <c r="B156" s="137">
        <f>'DOE25'!F495</f>
        <v>690000</v>
      </c>
      <c r="C156" s="137">
        <f>'DOE25'!G495</f>
        <v>0</v>
      </c>
      <c r="D156" s="137">
        <f>'DOE25'!H495</f>
        <v>0</v>
      </c>
      <c r="E156" s="137">
        <f>'DOE25'!I495</f>
        <v>0</v>
      </c>
      <c r="F156" s="137">
        <f>'DOE25'!J495</f>
        <v>0</v>
      </c>
      <c r="G156" s="138">
        <f>SUM(B156:F156)</f>
        <v>690000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134102.5</v>
      </c>
      <c r="C158" s="137">
        <f>'DOE25'!G497</f>
        <v>0</v>
      </c>
      <c r="D158" s="137">
        <f>'DOE25'!H497</f>
        <v>0</v>
      </c>
      <c r="E158" s="137">
        <f>'DOE25'!I497</f>
        <v>0</v>
      </c>
      <c r="F158" s="137">
        <f>'DOE25'!J497</f>
        <v>0</v>
      </c>
      <c r="G158" s="138">
        <f t="shared" si="0"/>
        <v>134102.5</v>
      </c>
    </row>
    <row r="159" spans="1:9" x14ac:dyDescent="0.2">
      <c r="A159" s="22" t="s">
        <v>35</v>
      </c>
      <c r="B159" s="137">
        <f>'DOE25'!F498</f>
        <v>1835000</v>
      </c>
      <c r="C159" s="137">
        <f>'DOE25'!G498</f>
        <v>0</v>
      </c>
      <c r="D159" s="137">
        <f>'DOE25'!H498</f>
        <v>0</v>
      </c>
      <c r="E159" s="137">
        <f>'DOE25'!I498</f>
        <v>0</v>
      </c>
      <c r="F159" s="137">
        <f>'DOE25'!J498</f>
        <v>0</v>
      </c>
      <c r="G159" s="138">
        <f t="shared" si="0"/>
        <v>1835000</v>
      </c>
    </row>
    <row r="160" spans="1:9" x14ac:dyDescent="0.2">
      <c r="A160" s="22" t="s">
        <v>36</v>
      </c>
      <c r="B160" s="137">
        <f>'DOE25'!F499</f>
        <v>672258.75</v>
      </c>
      <c r="C160" s="137">
        <f>'DOE25'!G499</f>
        <v>0</v>
      </c>
      <c r="D160" s="137">
        <f>'DOE25'!H499</f>
        <v>0</v>
      </c>
      <c r="E160" s="137">
        <f>'DOE25'!I499</f>
        <v>0</v>
      </c>
      <c r="F160" s="137">
        <f>'DOE25'!J499</f>
        <v>0</v>
      </c>
      <c r="G160" s="138">
        <f t="shared" si="0"/>
        <v>672258.75</v>
      </c>
    </row>
    <row r="161" spans="1:7" x14ac:dyDescent="0.2">
      <c r="A161" s="22" t="s">
        <v>37</v>
      </c>
      <c r="B161" s="137">
        <f>'DOE25'!F500</f>
        <v>2507258.75</v>
      </c>
      <c r="C161" s="137">
        <f>'DOE25'!G500</f>
        <v>0</v>
      </c>
      <c r="D161" s="137">
        <f>'DOE25'!H500</f>
        <v>0</v>
      </c>
      <c r="E161" s="137">
        <f>'DOE25'!I500</f>
        <v>0</v>
      </c>
      <c r="F161" s="137">
        <f>'DOE25'!J500</f>
        <v>0</v>
      </c>
      <c r="G161" s="138">
        <f t="shared" si="0"/>
        <v>2507258.75</v>
      </c>
    </row>
    <row r="162" spans="1:7" x14ac:dyDescent="0.2">
      <c r="A162" s="22" t="s">
        <v>38</v>
      </c>
      <c r="B162" s="137">
        <f>'DOE25'!F501</f>
        <v>590000</v>
      </c>
      <c r="C162" s="137">
        <f>'DOE25'!G501</f>
        <v>0</v>
      </c>
      <c r="D162" s="137">
        <f>'DOE25'!H501</f>
        <v>0</v>
      </c>
      <c r="E162" s="137">
        <f>'DOE25'!I501</f>
        <v>0</v>
      </c>
      <c r="F162" s="137">
        <f>'DOE25'!J501</f>
        <v>0</v>
      </c>
      <c r="G162" s="138">
        <f t="shared" si="0"/>
        <v>590000</v>
      </c>
    </row>
    <row r="163" spans="1:7" x14ac:dyDescent="0.2">
      <c r="A163" s="22" t="s">
        <v>39</v>
      </c>
      <c r="B163" s="137">
        <f>'DOE25'!F502</f>
        <v>133625</v>
      </c>
      <c r="C163" s="137">
        <f>'DOE25'!G502</f>
        <v>0</v>
      </c>
      <c r="D163" s="137">
        <f>'DOE25'!H502</f>
        <v>0</v>
      </c>
      <c r="E163" s="137">
        <f>'DOE25'!I502</f>
        <v>0</v>
      </c>
      <c r="F163" s="137">
        <f>'DOE25'!J502</f>
        <v>0</v>
      </c>
      <c r="G163" s="138">
        <f t="shared" si="0"/>
        <v>133625</v>
      </c>
    </row>
    <row r="164" spans="1:7" x14ac:dyDescent="0.2">
      <c r="A164" s="22" t="s">
        <v>246</v>
      </c>
      <c r="B164" s="137">
        <f>'DOE25'!F503</f>
        <v>723625</v>
      </c>
      <c r="C164" s="137">
        <f>'DOE25'!G503</f>
        <v>0</v>
      </c>
      <c r="D164" s="137">
        <f>'DOE25'!H503</f>
        <v>0</v>
      </c>
      <c r="E164" s="137">
        <f>'DOE25'!I503</f>
        <v>0</v>
      </c>
      <c r="F164" s="137">
        <f>'DOE25'!J503</f>
        <v>0</v>
      </c>
      <c r="G164" s="138">
        <f t="shared" si="0"/>
        <v>723625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NORTH HAMPTON</v>
      </c>
    </row>
    <row r="3" spans="1:4" x14ac:dyDescent="0.2">
      <c r="B3" s="188" t="s">
        <v>1602</v>
      </c>
    </row>
    <row r="4" spans="1:4" x14ac:dyDescent="0.2">
      <c r="B4" t="s">
        <v>61</v>
      </c>
      <c r="C4" s="179">
        <f>IF('DOE25'!F665+'DOE25'!F670=0,0,ROUND('DOE25'!F672,0))</f>
        <v>23639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23639</v>
      </c>
    </row>
    <row r="9" spans="1:4" x14ac:dyDescent="0.2">
      <c r="A9" s="187" t="s">
        <v>94</v>
      </c>
      <c r="B9" s="188" t="s">
        <v>1603</v>
      </c>
      <c r="C9" s="181" t="s">
        <v>720</v>
      </c>
      <c r="D9" s="181" t="s">
        <v>721</v>
      </c>
    </row>
    <row r="10" spans="1:4" x14ac:dyDescent="0.2">
      <c r="A10">
        <v>1100</v>
      </c>
      <c r="B10" t="s">
        <v>702</v>
      </c>
      <c r="C10" s="179">
        <f>ROUND('DOE25'!L197+'DOE25'!L215+'DOE25'!L233+'DOE25'!L276+'DOE25'!L295+'DOE25'!L314,0)</f>
        <v>3723313</v>
      </c>
      <c r="D10" s="182">
        <f>ROUND((C10/$C$28)*100,1)</f>
        <v>42.9</v>
      </c>
    </row>
    <row r="11" spans="1:4" x14ac:dyDescent="0.2">
      <c r="A11">
        <v>1200</v>
      </c>
      <c r="B11" t="s">
        <v>703</v>
      </c>
      <c r="C11" s="179">
        <f>ROUND('DOE25'!L198+'DOE25'!L216+'DOE25'!L234+'DOE25'!L277+'DOE25'!L296+'DOE25'!L315,0)</f>
        <v>2125794</v>
      </c>
      <c r="D11" s="182">
        <f>ROUND((C11/$C$28)*100,1)</f>
        <v>24.5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86618</v>
      </c>
      <c r="D13" s="182">
        <f>ROUND((C13/$C$28)*100,1)</f>
        <v>1</v>
      </c>
    </row>
    <row r="14" spans="1:4" x14ac:dyDescent="0.2">
      <c r="D14" s="182"/>
    </row>
    <row r="15" spans="1:4" x14ac:dyDescent="0.2">
      <c r="A15">
        <v>2100</v>
      </c>
      <c r="B15" t="s">
        <v>706</v>
      </c>
      <c r="C15" s="179">
        <f>ROUND('DOE25'!L202+'DOE25'!L220+'DOE25'!L238+'DOE25'!L281+'DOE25'!L300+'DOE25'!L319,0)</f>
        <v>365841</v>
      </c>
      <c r="D15" s="182">
        <f t="shared" ref="D15:D27" si="0">ROUND((C15/$C$28)*100,1)</f>
        <v>4.2</v>
      </c>
    </row>
    <row r="16" spans="1:4" x14ac:dyDescent="0.2">
      <c r="A16">
        <v>2200</v>
      </c>
      <c r="B16" t="s">
        <v>707</v>
      </c>
      <c r="C16" s="179">
        <f>ROUND('DOE25'!L203+'DOE25'!L221+'DOE25'!L239+'DOE25'!L282+'DOE25'!L301+'DOE25'!L320,0)</f>
        <v>562549</v>
      </c>
      <c r="D16" s="182">
        <f t="shared" si="0"/>
        <v>6.5</v>
      </c>
    </row>
    <row r="17" spans="1:4" x14ac:dyDescent="0.2">
      <c r="A17" s="183" t="s">
        <v>723</v>
      </c>
      <c r="B17" t="s">
        <v>738</v>
      </c>
      <c r="C17" s="179">
        <f>ROUND('DOE25'!L204+'DOE25'!L209+'DOE25'!L222+'DOE25'!L227+'DOE25'!L240+'DOE25'!L245+'DOE25'!L283+'DOE25'!L288+'DOE25'!L302+'DOE25'!L307+'DOE25'!L321+'DOE25'!L326,0)</f>
        <v>291349</v>
      </c>
      <c r="D17" s="182">
        <f t="shared" si="0"/>
        <v>3.4</v>
      </c>
    </row>
    <row r="18" spans="1:4" x14ac:dyDescent="0.2">
      <c r="A18">
        <v>2400</v>
      </c>
      <c r="B18" t="s">
        <v>711</v>
      </c>
      <c r="C18" s="179">
        <f>ROUND('DOE25'!L205+'DOE25'!L223+'DOE25'!L241+'DOE25'!L284+'DOE25'!L303+'DOE25'!L322,0)</f>
        <v>366828</v>
      </c>
      <c r="D18" s="182">
        <f t="shared" si="0"/>
        <v>4.2</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605610</v>
      </c>
      <c r="D20" s="182">
        <f t="shared" si="0"/>
        <v>7</v>
      </c>
    </row>
    <row r="21" spans="1:4" x14ac:dyDescent="0.2">
      <c r="A21">
        <v>2700</v>
      </c>
      <c r="B21" t="s">
        <v>710</v>
      </c>
      <c r="C21" s="179">
        <f>ROUND('DOE25'!L208+'DOE25'!L226+'DOE25'!L244+'DOE25'!L287+'DOE25'!L306+'DOE25'!L325,0)</f>
        <v>451020</v>
      </c>
      <c r="D21" s="182">
        <f t="shared" si="0"/>
        <v>5.2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34103</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63694.740000000005</v>
      </c>
      <c r="D27" s="182">
        <f t="shared" si="0"/>
        <v>0.7</v>
      </c>
    </row>
    <row r="28" spans="1:4" x14ac:dyDescent="0.2">
      <c r="B28" s="187" t="s">
        <v>719</v>
      </c>
      <c r="C28" s="180">
        <f>SUM(C10:C27)</f>
        <v>8676719.7400000002</v>
      </c>
      <c r="D28" s="184">
        <f>ROUND(SUM(D10:D27),0)</f>
        <v>100</v>
      </c>
    </row>
    <row r="29" spans="1:4" x14ac:dyDescent="0.2">
      <c r="A29">
        <v>4000</v>
      </c>
      <c r="B29" t="s">
        <v>724</v>
      </c>
      <c r="C29" s="179">
        <f>ROUND('DOE25'!L255+'DOE25'!L336+'DOE25'!L374+'DOE25'!L375+'DOE25'!L376+'DOE25'!L377+'DOE25'!L378+'DOE25'!L379+'DOE25'!L380,0)</f>
        <v>281557</v>
      </c>
    </row>
    <row r="30" spans="1:4" x14ac:dyDescent="0.2">
      <c r="B30" s="187" t="s">
        <v>725</v>
      </c>
      <c r="C30" s="180">
        <f>SUM(C28:C29)</f>
        <v>8958276.7400000002</v>
      </c>
    </row>
    <row r="31" spans="1:4" x14ac:dyDescent="0.2">
      <c r="B31" s="33"/>
      <c r="C31" s="180"/>
    </row>
    <row r="32" spans="1:4" x14ac:dyDescent="0.2">
      <c r="A32">
        <v>5100</v>
      </c>
      <c r="B32" s="33" t="s">
        <v>726</v>
      </c>
      <c r="C32" s="180">
        <f>ROUND('DOE25'!L260+'DOE25'!L341,0)</f>
        <v>100000</v>
      </c>
    </row>
    <row r="34" spans="1:4" x14ac:dyDescent="0.2">
      <c r="A34" s="187" t="s">
        <v>94</v>
      </c>
      <c r="B34" s="188" t="s">
        <v>1604</v>
      </c>
      <c r="C34" s="181" t="s">
        <v>720</v>
      </c>
      <c r="D34" s="181" t="s">
        <v>721</v>
      </c>
    </row>
    <row r="35" spans="1:4" x14ac:dyDescent="0.2">
      <c r="A35">
        <v>1100</v>
      </c>
      <c r="B35" s="185" t="s">
        <v>727</v>
      </c>
      <c r="C35" s="179">
        <f>ROUND('DOE25'!F60+'DOE25'!G60+'DOE25'!H60+'DOE25'!I60+'DOE25'!J60,0)</f>
        <v>7055709</v>
      </c>
      <c r="D35" s="182">
        <f t="shared" ref="D35:D40" si="1">ROUND((C35/$C$41)*100,1)</f>
        <v>75.7</v>
      </c>
    </row>
    <row r="36" spans="1:4" x14ac:dyDescent="0.2">
      <c r="B36" s="185" t="s">
        <v>739</v>
      </c>
      <c r="C36" s="179">
        <f>SUM('DOE25'!F112:J112)-SUM('DOE25'!G97:G110)+('DOE25'!F174+'DOE25'!F175+'DOE25'!I174+'DOE25'!I175)-C35</f>
        <v>107244.19000000041</v>
      </c>
      <c r="D36" s="182">
        <f t="shared" si="1"/>
        <v>1.2</v>
      </c>
    </row>
    <row r="37" spans="1:4" x14ac:dyDescent="0.2">
      <c r="A37" s="183" t="s">
        <v>835</v>
      </c>
      <c r="B37" s="185" t="s">
        <v>728</v>
      </c>
      <c r="C37" s="179">
        <f>ROUND('DOE25'!F117+'DOE25'!F118,0)</f>
        <v>1785626</v>
      </c>
      <c r="D37" s="182">
        <f t="shared" si="1"/>
        <v>19.2</v>
      </c>
    </row>
    <row r="38" spans="1:4" x14ac:dyDescent="0.2">
      <c r="A38" s="183" t="s">
        <v>734</v>
      </c>
      <c r="B38" s="185" t="s">
        <v>729</v>
      </c>
      <c r="C38" s="179">
        <f>ROUND(SUM('DOE25'!F140:J140)-SUM('DOE25'!F117:F119),0)</f>
        <v>122025</v>
      </c>
      <c r="D38" s="182">
        <f t="shared" si="1"/>
        <v>1.3</v>
      </c>
    </row>
    <row r="39" spans="1:4" x14ac:dyDescent="0.2">
      <c r="A39">
        <v>4000</v>
      </c>
      <c r="B39" s="185" t="s">
        <v>730</v>
      </c>
      <c r="C39" s="179">
        <f>ROUND('DOE25'!F169+'DOE25'!G169+'DOE25'!H169+'DOE25'!I169,0)</f>
        <v>249251</v>
      </c>
      <c r="D39" s="182">
        <f t="shared" si="1"/>
        <v>2.7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9319855.1900000013</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NORTH HAMPTON</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2019-11-21T13:37:19Z</cp:lastPrinted>
  <dcterms:created xsi:type="dcterms:W3CDTF">1997-12-04T19:04:30Z</dcterms:created>
  <dcterms:modified xsi:type="dcterms:W3CDTF">2019-11-22T14:21:27Z</dcterms:modified>
</cp:coreProperties>
</file>