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9" i="13" l="1"/>
  <c r="F15" i="13"/>
  <c r="I611" i="1"/>
  <c r="G613" i="1"/>
  <c r="G611" i="1"/>
  <c r="F613" i="1"/>
  <c r="F611" i="1"/>
  <c r="J591" i="1"/>
  <c r="J595" i="1"/>
  <c r="H595" i="1"/>
  <c r="J594" i="1"/>
  <c r="H594" i="1"/>
  <c r="J592" i="1"/>
  <c r="H592" i="1"/>
  <c r="H591" i="1"/>
  <c r="F582" i="1"/>
  <c r="G526" i="1"/>
  <c r="F526" i="1"/>
  <c r="F528" i="1"/>
  <c r="H543" i="1"/>
  <c r="H541" i="1"/>
  <c r="K531" i="1"/>
  <c r="K533" i="1"/>
  <c r="J531" i="1"/>
  <c r="I533" i="1"/>
  <c r="I531" i="1"/>
  <c r="H531" i="1"/>
  <c r="H533" i="1"/>
  <c r="G531" i="1"/>
  <c r="G533" i="1"/>
  <c r="F533" i="1"/>
  <c r="F531" i="1"/>
  <c r="I526" i="1"/>
  <c r="H526" i="1"/>
  <c r="G528" i="1"/>
  <c r="I528" i="1"/>
  <c r="H528" i="1"/>
  <c r="J521" i="1"/>
  <c r="I523" i="1"/>
  <c r="I521" i="1"/>
  <c r="H523" i="1"/>
  <c r="H521" i="1"/>
  <c r="G523" i="1"/>
  <c r="G521" i="1"/>
  <c r="F523" i="1"/>
  <c r="F521" i="1"/>
  <c r="I276" i="1"/>
  <c r="K333" i="1"/>
  <c r="I333" i="1"/>
  <c r="H333" i="1"/>
  <c r="G333" i="1"/>
  <c r="F333" i="1"/>
  <c r="F314" i="1"/>
  <c r="G319" i="1"/>
  <c r="F319" i="1"/>
  <c r="F281" i="1"/>
  <c r="G281" i="1"/>
  <c r="H276" i="1"/>
  <c r="I314" i="1"/>
  <c r="G314" i="1"/>
  <c r="I281" i="1"/>
  <c r="I279" i="1"/>
  <c r="G276" i="1"/>
  <c r="F276" i="1"/>
  <c r="K276" i="1"/>
  <c r="G322" i="1"/>
  <c r="F322" i="1"/>
  <c r="G320" i="1"/>
  <c r="F320" i="1"/>
  <c r="I282" i="1"/>
  <c r="H320" i="1"/>
  <c r="H282" i="1"/>
  <c r="G284" i="1"/>
  <c r="F284" i="1"/>
  <c r="G279" i="1"/>
  <c r="F279" i="1"/>
  <c r="J314" i="1"/>
  <c r="J276" i="1"/>
  <c r="H336" i="1"/>
  <c r="K314" i="1"/>
  <c r="H314" i="1"/>
  <c r="I202" i="1"/>
  <c r="I197" i="1"/>
  <c r="G197" i="1"/>
  <c r="H241" i="1"/>
  <c r="H205" i="1"/>
  <c r="F205" i="1"/>
  <c r="H243" i="1"/>
  <c r="F207" i="1"/>
  <c r="H207" i="1"/>
  <c r="J233" i="1"/>
  <c r="I233" i="1"/>
  <c r="K233" i="1"/>
  <c r="H233" i="1"/>
  <c r="H255" i="1"/>
  <c r="H244" i="1"/>
  <c r="J243" i="1"/>
  <c r="I243" i="1"/>
  <c r="G243" i="1"/>
  <c r="F243" i="1"/>
  <c r="K241" i="1"/>
  <c r="I241" i="1"/>
  <c r="G241" i="1"/>
  <c r="F241" i="1"/>
  <c r="J241" i="1"/>
  <c r="G239" i="1"/>
  <c r="F239" i="1"/>
  <c r="I239" i="1"/>
  <c r="H239" i="1"/>
  <c r="G238" i="1"/>
  <c r="F238" i="1"/>
  <c r="I238" i="1"/>
  <c r="H238" i="1"/>
  <c r="J238" i="1"/>
  <c r="K238" i="1"/>
  <c r="G236" i="1"/>
  <c r="F236" i="1"/>
  <c r="I236" i="1"/>
  <c r="H236" i="1"/>
  <c r="H235" i="1"/>
  <c r="I234" i="1"/>
  <c r="H234" i="1"/>
  <c r="G234" i="1"/>
  <c r="F234" i="1"/>
  <c r="G233" i="1"/>
  <c r="F233" i="1"/>
  <c r="J198" i="1"/>
  <c r="J197" i="1"/>
  <c r="K197" i="1"/>
  <c r="H197" i="1"/>
  <c r="H208" i="1"/>
  <c r="J207" i="1"/>
  <c r="I207" i="1"/>
  <c r="G207" i="1"/>
  <c r="K205" i="1"/>
  <c r="J205" i="1"/>
  <c r="I205" i="1"/>
  <c r="G205" i="1"/>
  <c r="G203" i="1"/>
  <c r="F203" i="1"/>
  <c r="I203" i="1"/>
  <c r="H203" i="1"/>
  <c r="H202" i="1"/>
  <c r="G202" i="1"/>
  <c r="F202" i="1"/>
  <c r="J202" i="1"/>
  <c r="K202" i="1"/>
  <c r="G200" i="1"/>
  <c r="F200" i="1"/>
  <c r="K200" i="1"/>
  <c r="I200" i="1"/>
  <c r="H200" i="1"/>
  <c r="I198" i="1"/>
  <c r="H198" i="1"/>
  <c r="G198" i="1"/>
  <c r="F198" i="1"/>
  <c r="F197" i="1"/>
  <c r="G158" i="1"/>
  <c r="F30" i="1"/>
  <c r="F12"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36" i="1"/>
  <c r="C112" i="2" s="1"/>
  <c r="G6" i="13"/>
  <c r="H6" i="13"/>
  <c r="L202" i="1"/>
  <c r="L220" i="1"/>
  <c r="L238" i="1"/>
  <c r="G7" i="13"/>
  <c r="H7" i="13"/>
  <c r="L203" i="1"/>
  <c r="L221" i="1"/>
  <c r="L239" i="1"/>
  <c r="G12" i="13"/>
  <c r="H12" i="13"/>
  <c r="L205" i="1"/>
  <c r="L223" i="1"/>
  <c r="L241" i="1"/>
  <c r="G14" i="13"/>
  <c r="H14" i="13"/>
  <c r="L207" i="1"/>
  <c r="L225" i="1"/>
  <c r="L243" i="1"/>
  <c r="G15" i="13"/>
  <c r="H15" i="13"/>
  <c r="L208" i="1"/>
  <c r="C124" i="2"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77" i="1"/>
  <c r="L278" i="1"/>
  <c r="L279" i="1"/>
  <c r="L281" i="1"/>
  <c r="L282" i="1"/>
  <c r="L283" i="1"/>
  <c r="L284" i="1"/>
  <c r="L285" i="1"/>
  <c r="E122" i="2" s="1"/>
  <c r="L286" i="1"/>
  <c r="L287" i="1"/>
  <c r="L288" i="1"/>
  <c r="L295" i="1"/>
  <c r="L309" i="1" s="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I25" i="13" s="1"/>
  <c r="L341" i="1"/>
  <c r="L342" i="1"/>
  <c r="L255" i="1"/>
  <c r="C130" i="2" s="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F112" i="1" s="1"/>
  <c r="G60" i="1"/>
  <c r="H60" i="1"/>
  <c r="I60" i="1"/>
  <c r="F79" i="1"/>
  <c r="C57" i="2" s="1"/>
  <c r="F94" i="1"/>
  <c r="F111" i="1"/>
  <c r="G111" i="1"/>
  <c r="G112" i="1" s="1"/>
  <c r="H79" i="1"/>
  <c r="H112" i="1"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L250" i="1"/>
  <c r="L332" i="1"/>
  <c r="E113" i="2" s="1"/>
  <c r="L254" i="1"/>
  <c r="L268" i="1"/>
  <c r="L269" i="1"/>
  <c r="C143" i="2" s="1"/>
  <c r="L349" i="1"/>
  <c r="L350" i="1"/>
  <c r="I665" i="1"/>
  <c r="I670" i="1"/>
  <c r="G662" i="1"/>
  <c r="H662" i="1"/>
  <c r="I669" i="1"/>
  <c r="C42" i="10"/>
  <c r="C32" i="10"/>
  <c r="L374" i="1"/>
  <c r="L375" i="1"/>
  <c r="L376" i="1"/>
  <c r="L377" i="1"/>
  <c r="L378" i="1"/>
  <c r="L379" i="1"/>
  <c r="L380" i="1"/>
  <c r="B2" i="10"/>
  <c r="L344" i="1"/>
  <c r="L345" i="1"/>
  <c r="L351" i="1" s="1"/>
  <c r="L346" i="1"/>
  <c r="L347" i="1"/>
  <c r="K351" i="1"/>
  <c r="L521" i="1"/>
  <c r="F549" i="1" s="1"/>
  <c r="L522" i="1"/>
  <c r="F550" i="1" s="1"/>
  <c r="L523" i="1"/>
  <c r="F551" i="1" s="1"/>
  <c r="L526" i="1"/>
  <c r="G549" i="1" s="1"/>
  <c r="L527" i="1"/>
  <c r="G550" i="1" s="1"/>
  <c r="K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J270" i="1"/>
  <c r="I270" i="1"/>
  <c r="H270" i="1"/>
  <c r="L270" i="1" s="1"/>
  <c r="G270" i="1"/>
  <c r="F270" i="1"/>
  <c r="A1" i="2"/>
  <c r="A2" i="2"/>
  <c r="C8" i="2"/>
  <c r="D8" i="2"/>
  <c r="E8" i="2"/>
  <c r="F8" i="2"/>
  <c r="I439" i="1"/>
  <c r="J9" i="1" s="1"/>
  <c r="G8" i="2" s="1"/>
  <c r="C9" i="2"/>
  <c r="D9" i="2"/>
  <c r="E9" i="2"/>
  <c r="F9" i="2"/>
  <c r="I440" i="1"/>
  <c r="J10" i="1" s="1"/>
  <c r="G9" i="2" s="1"/>
  <c r="C10" i="2"/>
  <c r="C11" i="2"/>
  <c r="D11" i="2"/>
  <c r="E11" i="2"/>
  <c r="F11" i="2"/>
  <c r="F18" i="2" s="1"/>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F21" i="2"/>
  <c r="I448" i="1"/>
  <c r="J22" i="1" s="1"/>
  <c r="C22" i="2"/>
  <c r="D22" i="2"/>
  <c r="E22" i="2"/>
  <c r="F22" i="2"/>
  <c r="I449" i="1"/>
  <c r="J23" i="1" s="1"/>
  <c r="G22" i="2" s="1"/>
  <c r="C23" i="2"/>
  <c r="D23" i="2"/>
  <c r="E23" i="2"/>
  <c r="F23" i="2"/>
  <c r="I450" i="1"/>
  <c r="J24" i="1" s="1"/>
  <c r="G23" i="2" s="1"/>
  <c r="C24" i="2"/>
  <c r="D24" i="2"/>
  <c r="E24" i="2"/>
  <c r="E31" i="2" s="1"/>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6" i="2"/>
  <c r="D56" i="2"/>
  <c r="E56" i="2"/>
  <c r="F56" i="2"/>
  <c r="E57" i="2"/>
  <c r="E62" i="2" s="1"/>
  <c r="E63" i="2" s="1"/>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C113" i="2"/>
  <c r="C114" i="2"/>
  <c r="D115" i="2"/>
  <c r="F115" i="2"/>
  <c r="G115" i="2"/>
  <c r="C119" i="2"/>
  <c r="E120" i="2"/>
  <c r="E123" i="2"/>
  <c r="E124" i="2"/>
  <c r="C125" i="2"/>
  <c r="E125" i="2"/>
  <c r="F128" i="2"/>
  <c r="G128" i="2"/>
  <c r="F130" i="2"/>
  <c r="D134" i="2"/>
  <c r="D144" i="2" s="1"/>
  <c r="E134" i="2"/>
  <c r="F134" i="2"/>
  <c r="K419" i="1"/>
  <c r="K427" i="1"/>
  <c r="K433" i="1"/>
  <c r="L263" i="1"/>
  <c r="C135" i="2" s="1"/>
  <c r="E135" i="2"/>
  <c r="L264" i="1"/>
  <c r="C136" i="2" s="1"/>
  <c r="L265" i="1"/>
  <c r="C137" i="2" s="1"/>
  <c r="E137" i="2"/>
  <c r="C142"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G156" i="2" s="1"/>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617" i="1" s="1"/>
  <c r="G19" i="1"/>
  <c r="H19" i="1"/>
  <c r="I19" i="1"/>
  <c r="F32" i="1"/>
  <c r="F52" i="1" s="1"/>
  <c r="G32" i="1"/>
  <c r="H32" i="1"/>
  <c r="I32" i="1"/>
  <c r="H617" i="1"/>
  <c r="G52" i="1"/>
  <c r="H618" i="1" s="1"/>
  <c r="H51" i="1"/>
  <c r="I51" i="1"/>
  <c r="I52" i="1" s="1"/>
  <c r="H620" i="1" s="1"/>
  <c r="F177" i="1"/>
  <c r="I177" i="1"/>
  <c r="F183" i="1"/>
  <c r="G183" i="1"/>
  <c r="G192" i="1" s="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L256" i="1" s="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H644" i="1" s="1"/>
  <c r="J644" i="1" s="1"/>
  <c r="I408" i="1"/>
  <c r="L413" i="1"/>
  <c r="L414" i="1"/>
  <c r="L415" i="1"/>
  <c r="L416" i="1"/>
  <c r="L417" i="1"/>
  <c r="L418" i="1"/>
  <c r="F419" i="1"/>
  <c r="G419" i="1"/>
  <c r="H419" i="1"/>
  <c r="I419" i="1"/>
  <c r="J419" i="1"/>
  <c r="L421" i="1"/>
  <c r="L422" i="1"/>
  <c r="L423" i="1"/>
  <c r="L424" i="1"/>
  <c r="L425" i="1"/>
  <c r="L426" i="1"/>
  <c r="F427" i="1"/>
  <c r="G427" i="1"/>
  <c r="H427" i="1"/>
  <c r="I427" i="1"/>
  <c r="J427" i="1"/>
  <c r="L429" i="1"/>
  <c r="L433" i="1" s="1"/>
  <c r="L430" i="1"/>
  <c r="L431" i="1"/>
  <c r="L432" i="1"/>
  <c r="F433" i="1"/>
  <c r="G433" i="1"/>
  <c r="H433" i="1"/>
  <c r="I433" i="1"/>
  <c r="J433" i="1"/>
  <c r="F446" i="1"/>
  <c r="G446" i="1"/>
  <c r="G640" i="1" s="1"/>
  <c r="H446" i="1"/>
  <c r="F452" i="1"/>
  <c r="G452" i="1"/>
  <c r="H452" i="1"/>
  <c r="F460" i="1"/>
  <c r="G460" i="1"/>
  <c r="H460" i="1"/>
  <c r="F461" i="1"/>
  <c r="G461" i="1"/>
  <c r="H461" i="1"/>
  <c r="F470" i="1"/>
  <c r="G470" i="1"/>
  <c r="G476" i="1" s="1"/>
  <c r="H623" i="1" s="1"/>
  <c r="J623" i="1" s="1"/>
  <c r="H470" i="1"/>
  <c r="I470" i="1"/>
  <c r="J470" i="1"/>
  <c r="F474" i="1"/>
  <c r="G474" i="1"/>
  <c r="H474" i="1"/>
  <c r="H476" i="1" s="1"/>
  <c r="H624" i="1" s="1"/>
  <c r="I474" i="1"/>
  <c r="J474" i="1"/>
  <c r="J476" i="1" s="1"/>
  <c r="H626" i="1" s="1"/>
  <c r="K495" i="1"/>
  <c r="K496" i="1"/>
  <c r="K497" i="1"/>
  <c r="K498" i="1"/>
  <c r="K499" i="1"/>
  <c r="K501" i="1"/>
  <c r="K502" i="1"/>
  <c r="F517" i="1"/>
  <c r="G517" i="1"/>
  <c r="H517" i="1"/>
  <c r="I517" i="1"/>
  <c r="F524" i="1"/>
  <c r="G524" i="1"/>
  <c r="H524" i="1"/>
  <c r="I524" i="1"/>
  <c r="J524" i="1"/>
  <c r="K524" i="1"/>
  <c r="F529" i="1"/>
  <c r="G529" i="1"/>
  <c r="H529" i="1"/>
  <c r="I529" i="1"/>
  <c r="J529" i="1"/>
  <c r="J545" i="1" s="1"/>
  <c r="K529" i="1"/>
  <c r="F534" i="1"/>
  <c r="G534" i="1"/>
  <c r="H534" i="1"/>
  <c r="I534" i="1"/>
  <c r="J534" i="1"/>
  <c r="K534" i="1"/>
  <c r="F539" i="1"/>
  <c r="G539" i="1"/>
  <c r="H539" i="1"/>
  <c r="I539" i="1"/>
  <c r="J539" i="1"/>
  <c r="K539" i="1"/>
  <c r="L539" i="1"/>
  <c r="F544" i="1"/>
  <c r="G544" i="1"/>
  <c r="H544" i="1"/>
  <c r="I544" i="1"/>
  <c r="J544" i="1"/>
  <c r="K544" i="1"/>
  <c r="L557" i="1"/>
  <c r="L558" i="1"/>
  <c r="L559" i="1"/>
  <c r="F560" i="1"/>
  <c r="G560" i="1"/>
  <c r="H560" i="1"/>
  <c r="I560" i="1"/>
  <c r="J560" i="1"/>
  <c r="J571" i="1" s="1"/>
  <c r="K560" i="1"/>
  <c r="L562" i="1"/>
  <c r="L563" i="1"/>
  <c r="L564" i="1"/>
  <c r="F565" i="1"/>
  <c r="G565" i="1"/>
  <c r="H565" i="1"/>
  <c r="I565" i="1"/>
  <c r="I571" i="1" s="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8" i="1"/>
  <c r="G619" i="1"/>
  <c r="G620" i="1"/>
  <c r="G622" i="1"/>
  <c r="G623" i="1"/>
  <c r="G624" i="1"/>
  <c r="G625" i="1"/>
  <c r="H627" i="1"/>
  <c r="H628" i="1"/>
  <c r="H629" i="1"/>
  <c r="H630" i="1"/>
  <c r="H631" i="1"/>
  <c r="H632" i="1"/>
  <c r="H633" i="1"/>
  <c r="G634" i="1"/>
  <c r="H634" i="1"/>
  <c r="H635" i="1"/>
  <c r="H636" i="1"/>
  <c r="H637" i="1"/>
  <c r="H638" i="1"/>
  <c r="G639" i="1"/>
  <c r="H639" i="1"/>
  <c r="H640" i="1"/>
  <c r="G641" i="1"/>
  <c r="H641" i="1"/>
  <c r="G643" i="1"/>
  <c r="J643" i="1" s="1"/>
  <c r="H643" i="1"/>
  <c r="G644" i="1"/>
  <c r="H645" i="1"/>
  <c r="G650" i="1"/>
  <c r="G651" i="1"/>
  <c r="J651" i="1" s="1"/>
  <c r="G652" i="1"/>
  <c r="H652" i="1"/>
  <c r="G653" i="1"/>
  <c r="H653" i="1"/>
  <c r="G654" i="1"/>
  <c r="H654" i="1"/>
  <c r="H655" i="1"/>
  <c r="C26" i="10"/>
  <c r="D62" i="2"/>
  <c r="D63" i="2" s="1"/>
  <c r="C91" i="2"/>
  <c r="D50" i="2"/>
  <c r="E103" i="2"/>
  <c r="D91" i="2"/>
  <c r="G62" i="2"/>
  <c r="E78" i="2"/>
  <c r="L427" i="1"/>
  <c r="J641" i="1"/>
  <c r="J639" i="1"/>
  <c r="K571" i="1"/>
  <c r="L419" i="1"/>
  <c r="I169" i="1"/>
  <c r="F476" i="1"/>
  <c r="H622" i="1" s="1"/>
  <c r="J622" i="1" s="1"/>
  <c r="I476" i="1"/>
  <c r="H625" i="1" s="1"/>
  <c r="J625" i="1" s="1"/>
  <c r="J140" i="1"/>
  <c r="F571" i="1"/>
  <c r="I552" i="1"/>
  <c r="K545" i="1"/>
  <c r="H140" i="1"/>
  <c r="J634" i="1"/>
  <c r="H571" i="1"/>
  <c r="L560" i="1"/>
  <c r="H192" i="1"/>
  <c r="C35" i="10"/>
  <c r="J655" i="1"/>
  <c r="L570" i="1"/>
  <c r="G36" i="2"/>
  <c r="L565" i="1"/>
  <c r="C70" i="2" l="1"/>
  <c r="D18" i="2"/>
  <c r="E81" i="2"/>
  <c r="G645" i="1"/>
  <c r="J645" i="1" s="1"/>
  <c r="I545" i="1"/>
  <c r="I460" i="1"/>
  <c r="I452" i="1"/>
  <c r="L382" i="1"/>
  <c r="G636" i="1" s="1"/>
  <c r="J636" i="1" s="1"/>
  <c r="C132" i="2"/>
  <c r="G552" i="1"/>
  <c r="L401" i="1"/>
  <c r="C139" i="2" s="1"/>
  <c r="D19" i="13"/>
  <c r="C19" i="13" s="1"/>
  <c r="D14" i="13"/>
  <c r="C14" i="13" s="1"/>
  <c r="K500" i="1"/>
  <c r="J624" i="1"/>
  <c r="F192" i="1"/>
  <c r="G161" i="2"/>
  <c r="C122" i="2"/>
  <c r="C25" i="10"/>
  <c r="C21" i="10"/>
  <c r="K605" i="1"/>
  <c r="G648" i="1" s="1"/>
  <c r="K503" i="1"/>
  <c r="D127" i="2"/>
  <c r="D128" i="2" s="1"/>
  <c r="H661" i="1"/>
  <c r="C19" i="10"/>
  <c r="D17" i="13"/>
  <c r="C17" i="13" s="1"/>
  <c r="E16" i="13"/>
  <c r="A40" i="12"/>
  <c r="A13" i="12"/>
  <c r="L614" i="1"/>
  <c r="K598" i="1"/>
  <c r="G647" i="1" s="1"/>
  <c r="J552" i="1"/>
  <c r="L544" i="1"/>
  <c r="H552" i="1"/>
  <c r="G545" i="1"/>
  <c r="L534" i="1"/>
  <c r="H545" i="1"/>
  <c r="K549" i="1"/>
  <c r="K551" i="1"/>
  <c r="L529" i="1"/>
  <c r="L524" i="1"/>
  <c r="F552" i="1"/>
  <c r="J640" i="1"/>
  <c r="I446" i="1"/>
  <c r="G642" i="1" s="1"/>
  <c r="D29" i="13"/>
  <c r="C29" i="13" s="1"/>
  <c r="F661" i="1"/>
  <c r="D145" i="2"/>
  <c r="F338" i="1"/>
  <c r="F352" i="1" s="1"/>
  <c r="E118" i="2"/>
  <c r="E109" i="2"/>
  <c r="E115" i="2" s="1"/>
  <c r="E121" i="2"/>
  <c r="L328" i="1"/>
  <c r="E119" i="2"/>
  <c r="G338" i="1"/>
  <c r="G352" i="1" s="1"/>
  <c r="C18" i="10"/>
  <c r="L290" i="1"/>
  <c r="J338" i="1"/>
  <c r="J352" i="1" s="1"/>
  <c r="C29" i="10"/>
  <c r="H338" i="1"/>
  <c r="H352" i="1" s="1"/>
  <c r="E8" i="13"/>
  <c r="C8" i="13" s="1"/>
  <c r="C120" i="2"/>
  <c r="C17" i="10"/>
  <c r="D15" i="13"/>
  <c r="C15" i="13" s="1"/>
  <c r="C16" i="10"/>
  <c r="D7" i="13"/>
  <c r="C7" i="13" s="1"/>
  <c r="J257" i="1"/>
  <c r="J271" i="1" s="1"/>
  <c r="K257" i="1"/>
  <c r="K271" i="1" s="1"/>
  <c r="L247" i="1"/>
  <c r="C13" i="10"/>
  <c r="C111" i="2"/>
  <c r="I257" i="1"/>
  <c r="I271" i="1" s="1"/>
  <c r="H257" i="1"/>
  <c r="H271" i="1" s="1"/>
  <c r="F257" i="1"/>
  <c r="F271" i="1" s="1"/>
  <c r="C25" i="13"/>
  <c r="I33" i="13"/>
  <c r="G22" i="13"/>
  <c r="C22" i="13" s="1"/>
  <c r="F662" i="1"/>
  <c r="I662" i="1" s="1"/>
  <c r="G649" i="1"/>
  <c r="J649" i="1" s="1"/>
  <c r="H647" i="1"/>
  <c r="J647" i="1" s="1"/>
  <c r="C123" i="2"/>
  <c r="C20" i="10"/>
  <c r="D12" i="13"/>
  <c r="C12" i="13" s="1"/>
  <c r="C121" i="2"/>
  <c r="D6" i="13"/>
  <c r="C6" i="13" s="1"/>
  <c r="L211" i="1"/>
  <c r="C118" i="2"/>
  <c r="C15" i="10"/>
  <c r="C110" i="2"/>
  <c r="D5" i="13"/>
  <c r="C5" i="13" s="1"/>
  <c r="G257" i="1"/>
  <c r="G271" i="1" s="1"/>
  <c r="C78" i="2"/>
  <c r="C62" i="2"/>
  <c r="C63" i="2" s="1"/>
  <c r="J617" i="1"/>
  <c r="H52" i="1"/>
  <c r="H619" i="1" s="1"/>
  <c r="C18" i="2"/>
  <c r="C10" i="10"/>
  <c r="C109" i="2"/>
  <c r="L229" i="1"/>
  <c r="G24" i="14" s="1"/>
  <c r="C16" i="13"/>
  <c r="L337" i="1"/>
  <c r="F62" i="2"/>
  <c r="F63" i="2" s="1"/>
  <c r="C23" i="10"/>
  <c r="G163" i="2"/>
  <c r="G162" i="2"/>
  <c r="G160" i="2"/>
  <c r="G159" i="2"/>
  <c r="G158" i="2"/>
  <c r="G103" i="2"/>
  <c r="F103" i="2"/>
  <c r="C103" i="2"/>
  <c r="F91" i="2"/>
  <c r="F104" i="2" s="1"/>
  <c r="E50" i="2"/>
  <c r="E51" i="2" s="1"/>
  <c r="C50" i="2"/>
  <c r="F31" i="2"/>
  <c r="C31" i="2"/>
  <c r="E18" i="2"/>
  <c r="E144" i="2"/>
  <c r="F50" i="2"/>
  <c r="F51" i="2" s="1"/>
  <c r="C24" i="10"/>
  <c r="G660" i="1"/>
  <c r="G664" i="1" s="1"/>
  <c r="H31" i="13"/>
  <c r="H33" i="13" s="1"/>
  <c r="I338" i="1"/>
  <c r="I352" i="1" s="1"/>
  <c r="J650" i="1"/>
  <c r="L407" i="1"/>
  <c r="C140" i="2" s="1"/>
  <c r="C141" i="2" s="1"/>
  <c r="C144" i="2" s="1"/>
  <c r="L571" i="1"/>
  <c r="I192" i="1"/>
  <c r="E91" i="2"/>
  <c r="E104" i="2" s="1"/>
  <c r="D51" i="2"/>
  <c r="J654" i="1"/>
  <c r="J653" i="1"/>
  <c r="F144" i="2"/>
  <c r="F145" i="2" s="1"/>
  <c r="G21" i="2"/>
  <c r="G31" i="2" s="1"/>
  <c r="J32" i="1"/>
  <c r="L434" i="1"/>
  <c r="G638" i="1" s="1"/>
  <c r="J638" i="1" s="1"/>
  <c r="J434" i="1"/>
  <c r="F434" i="1"/>
  <c r="K434" i="1"/>
  <c r="G134" i="2" s="1"/>
  <c r="G144" i="2" s="1"/>
  <c r="G145" i="2" s="1"/>
  <c r="G31" i="13"/>
  <c r="J193" i="1"/>
  <c r="G646" i="1" s="1"/>
  <c r="H193" i="1"/>
  <c r="G629" i="1" s="1"/>
  <c r="J629" i="1" s="1"/>
  <c r="G169" i="1"/>
  <c r="C39" i="10" s="1"/>
  <c r="G140" i="1"/>
  <c r="F140" i="1"/>
  <c r="C36" i="10"/>
  <c r="G63" i="2"/>
  <c r="J618" i="1"/>
  <c r="G42" i="2"/>
  <c r="J51" i="1"/>
  <c r="G16" i="2"/>
  <c r="G18" i="2" s="1"/>
  <c r="J19" i="1"/>
  <c r="G621" i="1" s="1"/>
  <c r="F545" i="1"/>
  <c r="H434" i="1"/>
  <c r="J620" i="1"/>
  <c r="J619" i="1"/>
  <c r="D103" i="2"/>
  <c r="D104" i="2" s="1"/>
  <c r="I140" i="1"/>
  <c r="I193" i="1" s="1"/>
  <c r="G630" i="1" s="1"/>
  <c r="J630" i="1" s="1"/>
  <c r="A22" i="12"/>
  <c r="G50" i="2"/>
  <c r="G51" i="2" s="1"/>
  <c r="J652" i="1"/>
  <c r="G571" i="1"/>
  <c r="I434" i="1"/>
  <c r="G434" i="1"/>
  <c r="I663" i="1"/>
  <c r="C27" i="10"/>
  <c r="G635" i="1"/>
  <c r="J635" i="1" s="1"/>
  <c r="C81" i="2" l="1"/>
  <c r="C104" i="2" s="1"/>
  <c r="L408" i="1"/>
  <c r="G637" i="1" s="1"/>
  <c r="J637" i="1" s="1"/>
  <c r="G104" i="2"/>
  <c r="F193" i="1"/>
  <c r="G627" i="1" s="1"/>
  <c r="J627" i="1" s="1"/>
  <c r="I661" i="1"/>
  <c r="I461" i="1"/>
  <c r="H642" i="1" s="1"/>
  <c r="J642" i="1" s="1"/>
  <c r="K552" i="1"/>
  <c r="L545" i="1"/>
  <c r="H646" i="1"/>
  <c r="J646" i="1" s="1"/>
  <c r="H660" i="1"/>
  <c r="H664" i="1" s="1"/>
  <c r="H667" i="1" s="1"/>
  <c r="L338" i="1"/>
  <c r="L352" i="1" s="1"/>
  <c r="G633" i="1" s="1"/>
  <c r="J633" i="1" s="1"/>
  <c r="E128" i="2"/>
  <c r="E145" i="2" s="1"/>
  <c r="F660" i="1"/>
  <c r="F664" i="1" s="1"/>
  <c r="F672" i="1" s="1"/>
  <c r="C4" i="10" s="1"/>
  <c r="D31" i="13"/>
  <c r="C31" i="13" s="1"/>
  <c r="E33" i="13"/>
  <c r="D35" i="13" s="1"/>
  <c r="H648" i="1"/>
  <c r="J648" i="1" s="1"/>
  <c r="G36" i="14"/>
  <c r="H36" i="14" s="1"/>
  <c r="I36" i="14" s="1"/>
  <c r="C115" i="2"/>
  <c r="G33" i="13"/>
  <c r="C128" i="2"/>
  <c r="L257" i="1"/>
  <c r="L271" i="1" s="1"/>
  <c r="G632" i="1" s="1"/>
  <c r="J632" i="1" s="1"/>
  <c r="G4" i="14"/>
  <c r="H4" i="14" s="1"/>
  <c r="I4" i="14" s="1"/>
  <c r="C28" i="10"/>
  <c r="D23" i="10" s="1"/>
  <c r="H24" i="14"/>
  <c r="I24" i="14" s="1"/>
  <c r="G667" i="1"/>
  <c r="G672" i="1"/>
  <c r="C5" i="10" s="1"/>
  <c r="C51" i="2"/>
  <c r="G631" i="1"/>
  <c r="J631" i="1" s="1"/>
  <c r="G193" i="1"/>
  <c r="G628" i="1" s="1"/>
  <c r="J628" i="1" s="1"/>
  <c r="G626" i="1"/>
  <c r="J626" i="1" s="1"/>
  <c r="J52" i="1"/>
  <c r="H621" i="1" s="1"/>
  <c r="J621" i="1" s="1"/>
  <c r="C38" i="10"/>
  <c r="H672" i="1" l="1"/>
  <c r="C6" i="10" s="1"/>
  <c r="I660" i="1"/>
  <c r="I664" i="1" s="1"/>
  <c r="I672" i="1" s="1"/>
  <c r="C7" i="10" s="1"/>
  <c r="C145" i="2"/>
  <c r="F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<sst xmlns="http://schemas.openxmlformats.org/spreadsheetml/2006/main" count="5506" uniqueCount="1612">
  <si>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</si>
  <si>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</si>
  <si>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</si>
  <si>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</si>
  <si>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</si>
  <si>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</si>
  <si>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</si>
  <si>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</si>
  <si>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</si>
  <si>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</si>
  <si>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</si>
  <si>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</si>
  <si>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</si>
  <si>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</si>
  <si>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</si>
  <si>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</si>
  <si>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</si>
  <si>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</si>
  <si>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</si>
  <si>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</si>
  <si>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</si>
  <si>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</si>
  <si>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</si>
  <si>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</si>
  <si>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</si>
  <si>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</si>
  <si>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</si>
  <si>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</si>
  <si>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</si>
  <si>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</si>
  <si>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</si>
  <si>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</si>
  <si>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</si>
  <si>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</si>
  <si>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</si>
  <si>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</si>
  <si>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</si>
  <si>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</si>
  <si>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</si>
  <si>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</si>
  <si>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</si>
  <si>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</si>
  <si>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</si>
  <si>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</si>
  <si>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</si>
  <si>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</si>
  <si>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</si>
  <si>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</si>
  <si>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</si>
  <si>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</si>
  <si>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</si>
  <si>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</si>
  <si>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</si>
  <si>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</si>
  <si>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</si>
  <si>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</si>
  <si>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</si>
  <si>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</si>
  <si>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</si>
  <si>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</si>
  <si>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</si>
  <si>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</si>
  <si>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</si>
  <si>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</si>
  <si>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</si>
  <si>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</si>
  <si>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</si>
  <si>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</si>
  <si>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</si>
  <si>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</si>
  <si>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</si>
  <si>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</si>
  <si>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</si>
  <si>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</si>
  <si>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</si>
  <si>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</si>
  <si>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</si>
  <si>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</si>
  <si>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</si>
  <si>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</si>
  <si>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</si>
  <si>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</si>
  <si>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</si>
  <si>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</si>
  <si>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</si>
  <si>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</si>
  <si>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</si>
  <si>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</si>
  <si>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</si>
  <si>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</si>
  <si>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</si>
  <si>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</si>
  <si>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</si>
  <si>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</si>
  <si>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</si>
  <si>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</si>
  <si>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</si>
  <si>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</si>
  <si>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</si>
  <si>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</si>
  <si>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</si>
  <si>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</si>
  <si>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</si>
  <si>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</si>
  <si>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</si>
  <si>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</si>
  <si>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</si>
  <si>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</si>
  <si>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</si>
  <si>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</si>
  <si>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</si>
  <si>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</si>
  <si>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</si>
  <si>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</si>
  <si>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</si>
  <si>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</si>
  <si>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</si>
  <si>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</si>
  <si>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</si>
  <si>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</si>
  <si>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</si>
  <si>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</si>
  <si>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</si>
  <si>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</si>
  <si>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</si>
  <si>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</si>
  <si>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</si>
  <si>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</si>
  <si>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</si>
  <si>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</si>
  <si>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</si>
  <si>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</si>
  <si>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</si>
  <si>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</si>
  <si>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</si>
  <si>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</si>
  <si>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</si>
  <si>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</si>
  <si>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</si>
  <si>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</si>
  <si>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</si>
  <si>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</si>
  <si>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</si>
  <si>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</si>
  <si>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</si>
  <si>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</si>
  <si>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</si>
  <si>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</si>
  <si>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</si>
  <si>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</si>
  <si>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</si>
  <si>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</si>
  <si>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</si>
  <si>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</si>
  <si>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</si>
  <si>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</si>
  <si>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</si>
  <si>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</si>
  <si>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</si>
  <si>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</si>
  <si>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</si>
  <si>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</si>
  <si>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</si>
  <si>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</si>
  <si>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</si>
  <si>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</si>
  <si>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</si>
  <si>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</si>
  <si>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</si>
  <si>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</si>
  <si>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</si>
  <si>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</si>
  <si>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</si>
  <si>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</si>
  <si>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</si>
  <si>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</si>
  <si>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</si>
  <si>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</si>
  <si>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</si>
  <si>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</si>
  <si>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</si>
  <si>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</si>
  <si>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</si>
  <si>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</si>
  <si>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</si>
  <si>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</si>
  <si>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</si>
  <si>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</si>
  <si>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</si>
  <si>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</si>
  <si>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</si>
  <si>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</si>
  <si>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</si>
  <si>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</si>
  <si>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</si>
  <si>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</si>
  <si>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</si>
  <si>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</si>
  <si>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</si>
  <si>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</si>
  <si>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</si>
  <si>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</si>
  <si>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</si>
  <si>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</si>
  <si>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</si>
  <si>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</si>
  <si>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</si>
  <si>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</si>
  <si>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</si>
  <si>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</si>
  <si>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</si>
  <si>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</si>
  <si>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</si>
  <si>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</si>
  <si>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</si>
  <si>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</si>
  <si>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</si>
  <si>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</si>
  <si>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</si>
  <si>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</si>
  <si>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</si>
  <si>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</si>
  <si>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</si>
  <si>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</si>
  <si>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</si>
  <si>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</si>
  <si>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</si>
  <si>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</si>
  <si>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</si>
  <si>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</si>
  <si>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</si>
  <si>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</si>
  <si>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</si>
  <si>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</si>
  <si>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</si>
  <si>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</si>
  <si>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</si>
  <si>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</si>
  <si>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</si>
  <si>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</si>
  <si>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</si>
  <si>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</si>
  <si>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</si>
  <si>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</si>
  <si>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</si>
  <si>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</si>
  <si>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</si>
  <si>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</si>
  <si>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</si>
  <si>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</si>
  <si>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</si>
  <si>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</si>
  <si>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</si>
  <si>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</si>
  <si>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</si>
  <si>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</si>
  <si>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</si>
  <si>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</si>
  <si>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</si>
  <si>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</si>
  <si>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</si>
  <si>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</si>
  <si>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</si>
  <si>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</si>
  <si>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</si>
  <si>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</si>
  <si>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</si>
  <si>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</si>
  <si>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</si>
  <si>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</si>
  <si>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</si>
  <si>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</si>
  <si>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</si>
  <si>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</si>
  <si>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</si>
  <si>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</si>
  <si>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</si>
  <si>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</si>
  <si>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</si>
  <si>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</si>
  <si>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</si>
  <si>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</si>
  <si>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</si>
  <si>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</si>
  <si>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</si>
  <si>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</si>
  <si>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</si>
  <si>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</si>
  <si>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</si>
  <si>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</si>
  <si>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</si>
  <si>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</si>
  <si>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</si>
  <si>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</si>
  <si>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</si>
  <si>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</si>
  <si>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</si>
  <si>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</si>
  <si>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</si>
  <si>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</si>
  <si>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</si>
  <si>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</si>
  <si>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</si>
  <si>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</si>
  <si>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</si>
  <si>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</si>
  <si>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</si>
  <si>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</si>
  <si>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</si>
  <si>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</si>
  <si>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</si>
  <si>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</si>
  <si>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</si>
  <si>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</si>
  <si>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</si>
  <si>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</si>
  <si>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</si>
  <si>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</si>
  <si>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</si>
  <si>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</si>
  <si>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</si>
  <si>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</si>
  <si>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</si>
  <si>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</si>
  <si>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</si>
  <si>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</si>
  <si>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</si>
  <si>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</si>
  <si>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</si>
  <si>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</si>
  <si>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</si>
  <si>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</si>
  <si>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</si>
  <si>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</si>
  <si>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</si>
  <si>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</si>
  <si>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</si>
  <si>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</si>
  <si>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</si>
  <si>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</si>
  <si>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</si>
  <si>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</si>
  <si>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</si>
  <si>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</si>
  <si>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</si>
  <si>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</si>
  <si>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</si>
  <si>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</si>
  <si>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</si>
  <si>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</si>
  <si>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</si>
  <si>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</si>
  <si>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</si>
  <si>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</si>
  <si>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</si>
  <si>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</si>
  <si>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</si>
  <si>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</si>
  <si>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</si>
  <si>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</si>
  <si>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</si>
  <si>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</si>
  <si>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</si>
  <si>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</si>
  <si>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</si>
  <si>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</si>
  <si>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</si>
  <si>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</si>
  <si>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</si>
  <si>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</si>
  <si>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</si>
  <si>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</si>
  <si>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</si>
  <si>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</si>
  <si>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</si>
  <si>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</si>
  <si>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</si>
  <si>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</si>
  <si>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</si>
  <si>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</si>
  <si>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</si>
  <si>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</si>
  <si>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</si>
  <si>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</si>
  <si>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</si>
  <si>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</si>
  <si>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</si>
  <si>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</si>
  <si>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</si>
  <si>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</si>
  <si>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</si>
  <si>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</si>
  <si>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</si>
  <si>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</si>
  <si>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</si>
  <si>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</si>
  <si>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</si>
  <si>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</si>
  <si>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</si>
  <si>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</si>
  <si>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</si>
  <si>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</si>
  <si>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</si>
  <si>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</si>
  <si>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</si>
  <si>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</si>
  <si>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</si>
  <si>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</si>
  <si>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</si>
  <si>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</si>
  <si>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</si>
  <si>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</si>
  <si>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</si>
  <si>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</si>
  <si>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</si>
  <si>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</si>
  <si>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</si>
  <si>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</si>
  <si>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</si>
  <si>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</si>
  <si>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</si>
  <si>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</si>
  <si>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</si>
  <si>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</si>
  <si>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</si>
  <si>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</si>
  <si>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</si>
  <si>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</si>
  <si>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</si>
  <si>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</si>
  <si>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</si>
  <si>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</si>
  <si>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</si>
  <si>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</si>
  <si>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</si>
  <si>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</si>
  <si>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</si>
  <si>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</si>
  <si>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</si>
  <si>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</si>
  <si>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</si>
  <si>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</si>
  <si>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</si>
  <si>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</si>
  <si>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</si>
  <si>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</si>
  <si>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</si>
  <si>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</si>
  <si>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</si>
  <si>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</si>
  <si>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</si>
  <si>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</si>
  <si>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</si>
  <si>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</si>
  <si>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</si>
  <si>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</si>
  <si>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</si>
  <si>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</si>
  <si>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</si>
  <si>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</si>
  <si>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</si>
  <si>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</si>
  <si>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</si>
  <si>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</si>
  <si>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</si>
  <si>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</si>
  <si>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</si>
  <si>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</si>
  <si>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</si>
  <si>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</si>
  <si>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</si>
  <si>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</si>
  <si>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</si>
  <si>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</si>
  <si>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</si>
  <si>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</si>
  <si>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</si>
  <si>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</si>
  <si>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</si>
  <si>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</si>
  <si>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</si>
  <si>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</si>
  <si>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</si>
  <si>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</si>
  <si>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</si>
  <si>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</si>
  <si>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</si>
  <si>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</si>
  <si>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</si>
  <si>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</si>
  <si>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</si>
  <si>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</si>
  <si>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</si>
  <si>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</si>
  <si>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</si>
  <si>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</si>
  <si>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</si>
  <si>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</si>
  <si>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</si>
  <si>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</si>
  <si>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</si>
  <si>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</si>
  <si>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</si>
  <si>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</si>
  <si>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</si>
  <si>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</si>
  <si>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</si>
  <si>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</si>
  <si>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</si>
  <si>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</si>
  <si>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</si>
  <si>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</si>
  <si>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</si>
  <si>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</si>
  <si>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</si>
  <si>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</si>
  <si>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</si>
  <si>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</si>
  <si>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</si>
  <si>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</si>
  <si>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</si>
  <si>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</si>
  <si>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</si>
  <si>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</si>
  <si>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</si>
  <si>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</si>
  <si>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</si>
  <si>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</si>
  <si>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</si>
  <si>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</si>
  <si>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</si>
  <si>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</si>
  <si>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</si>
  <si>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</si>
  <si>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</si>
  <si>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</si>
  <si>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</si>
  <si>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</si>
  <si>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</si>
  <si>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</si>
  <si>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</si>
  <si>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</si>
  <si>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</si>
  <si>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</si>
  <si>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</si>
  <si>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</si>
  <si>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</si>
  <si>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</si>
  <si>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</si>
  <si>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</si>
  <si>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</si>
  <si>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</si>
  <si>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</si>
  <si>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</si>
  <si>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</si>
  <si>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</si>
  <si>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</si>
  <si>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</si>
  <si>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</si>
  <si>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</si>
  <si>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</si>
  <si>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</si>
  <si>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</si>
  <si>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</si>
  <si>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</si>
  <si>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</si>
  <si>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</si>
  <si>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</si>
  <si>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</si>
  <si>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</si>
  <si>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</si>
  <si>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</si>
  <si>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</si>
  <si>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</si>
  <si>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</si>
  <si>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</si>
  <si>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</si>
  <si>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</si>
  <si>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</si>
  <si>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</si>
  <si>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</si>
  <si>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</si>
  <si>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</si>
  <si>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</si>
  <si>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</si>
  <si>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</si>
  <si>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</si>
  <si>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</si>
  <si>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</si>
  <si>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</si>
  <si>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</si>
  <si>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</si>
  <si>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</si>
  <si>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</si>
  <si>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</si>
  <si>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</si>
  <si>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</si>
  <si>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</si>
  <si>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</si>
  <si>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</si>
  <si>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</si>
  <si>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</si>
  <si>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</si>
  <si>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</si>
  <si>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</si>
  <si>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</si>
  <si>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</si>
  <si>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</si>
  <si>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</si>
  <si>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</si>
  <si>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</si>
  <si>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</si>
  <si>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</si>
  <si>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</si>
  <si>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</si>
  <si>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</si>
  <si>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</si>
  <si>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</si>
  <si>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</si>
  <si>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</si>
  <si>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</si>
  <si>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</si>
  <si>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</si>
  <si>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</si>
  <si>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</si>
  <si>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</si>
  <si>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</si>
  <si>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</si>
  <si>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</si>
  <si>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</si>
  <si>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</si>
  <si>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</si>
  <si>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</si>
  <si>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</si>
  <si>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</si>
  <si>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</si>
  <si>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</si>
  <si>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</si>
  <si>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</si>
  <si>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</si>
  <si>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</si>
  <si>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</si>
  <si>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</si>
  <si>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</si>
  <si>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</si>
  <si>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</si>
  <si>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</si>
  <si>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</si>
  <si>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</si>
  <si>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</si>
  <si>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</si>
  <si>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</si>
  <si>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</si>
  <si>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</si>
  <si>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</si>
  <si>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</si>
  <si>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</si>
  <si>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</si>
  <si>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</si>
  <si>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</si>
  <si>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</si>
  <si>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</si>
  <si>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</si>
  <si>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</si>
  <si>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</si>
  <si>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</si>
  <si>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</si>
  <si>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</si>
  <si>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</si>
  <si>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</si>
  <si>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</si>
  <si>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</si>
  <si>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</si>
  <si>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</si>
  <si>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</si>
  <si>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</si>
  <si>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</si>
  <si>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</si>
  <si>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</si>
  <si>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</si>
  <si>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</si>
  <si>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</si>
  <si>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</si>
  <si>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</si>
  <si>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</si>
  <si>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</si>
  <si>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</si>
  <si>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</si>
  <si>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</si>
  <si>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</si>
  <si>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</si>
  <si>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</si>
  <si>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</si>
  <si>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</si>
  <si>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</si>
  <si>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</si>
  <si>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</si>
  <si>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</si>
  <si>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</si>
  <si>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</si>
  <si>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</si>
  <si>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</si>
  <si>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</si>
  <si>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</si>
  <si>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</si>
  <si>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</si>
  <si>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</si>
  <si>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</si>
  <si>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</si>
  <si>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</si>
  <si>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</si>
  <si>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</si>
  <si>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</si>
  <si>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</si>
  <si>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</si>
  <si>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</si>
  <si>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</si>
  <si>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</si>
  <si>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</si>
  <si>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</si>
  <si>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</si>
  <si>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</si>
  <si>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</si>
  <si>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</si>
  <si>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</si>
  <si>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</si>
  <si>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</si>
  <si>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</si>
  <si>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</si>
  <si>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</si>
  <si>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</si>
  <si>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</si>
  <si>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</si>
  <si>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</si>
  <si>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</si>
  <si>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</si>
  <si>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</si>
  <si>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</si>
  <si>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</si>
  <si>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</si>
  <si>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</si>
  <si>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</si>
  <si>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</si>
  <si>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</si>
  <si>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</si>
  <si>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</si>
  <si>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</si>
  <si>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</si>
  <si>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</si>
  <si>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</si>
  <si>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</si>
  <si>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</si>
  <si>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</si>
  <si>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</si>
  <si>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</si>
  <si>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</si>
  <si>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</si>
  <si>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</si>
  <si>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</si>
  <si>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</si>
  <si>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</si>
  <si>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</si>
  <si>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</si>
  <si>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</si>
  <si>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</si>
  <si>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</si>
  <si>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</si>
  <si>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</si>
  <si>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</si>
  <si>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</si>
  <si>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</si>
  <si>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</si>
  <si>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</si>
  <si>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</si>
  <si>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</si>
  <si>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</si>
  <si>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</si>
  <si>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</si>
  <si>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</si>
  <si>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</si>
  <si>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</si>
  <si>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</si>
  <si>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</si>
  <si>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</si>
  <si>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</si>
  <si>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</si>
  <si>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</si>
  <si>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</si>
  <si>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</si>
  <si>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</si>
  <si>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</si>
  <si>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</si>
  <si>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</si>
  <si>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</si>
  <si>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</si>
  <si>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</si>
  <si>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</si>
  <si>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</si>
  <si>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</si>
  <si>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</si>
  <si>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</si>
  <si>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</si>
  <si>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</si>
  <si>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</si>
  <si>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</si>
  <si>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</si>
  <si>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</si>
  <si>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</si>
  <si>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</si>
  <si>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</si>
  <si>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</si>
  <si>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</si>
  <si>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</si>
  <si>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</si>
  <si>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</si>
  <si>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</si>
  <si>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</si>
  <si>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</si>
  <si>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</si>
  <si>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</si>
  <si>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</si>
  <si>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</si>
  <si>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</si>
  <si>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</si>
  <si>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</si>
  <si>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</si>
  <si>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</si>
  <si>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</si>
  <si>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</si>
  <si>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</si>
  <si>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</si>
  <si>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</si>
  <si>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</si>
  <si>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</si>
  <si>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</si>
  <si>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</si>
  <si>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</si>
  <si>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</si>
  <si>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</si>
  <si>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</si>
  <si>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</si>
  <si>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</si>
  <si>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</si>
  <si>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</si>
  <si>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</si>
  <si>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</si>
  <si>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</si>
  <si>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</si>
  <si>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</si>
  <si>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</si>
  <si>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</si>
  <si>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</si>
  <si>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</si>
  <si>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</si>
  <si>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</si>
  <si>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</si>
  <si>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</si>
  <si>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</si>
  <si>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</si>
  <si>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</si>
  <si>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</si>
  <si>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</si>
  <si>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</si>
  <si>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</si>
  <si>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</si>
  <si>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</si>
  <si>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</si>
  <si>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</si>
  <si>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</si>
  <si>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</si>
  <si>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</si>
  <si>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</si>
  <si>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</si>
  <si>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</si>
  <si>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</si>
  <si>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</si>
  <si>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</si>
  <si>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</si>
  <si>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</si>
  <si>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</si>
  <si>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</si>
  <si>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</si>
  <si>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</si>
  <si>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</si>
  <si>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</si>
  <si>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</si>
  <si>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</si>
  <si>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</si>
  <si>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</si>
  <si>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</si>
  <si>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</si>
  <si>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</si>
  <si>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</si>
  <si>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</si>
  <si>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</si>
  <si>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</si>
  <si>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</si>
  <si>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</si>
  <si>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</si>
  <si>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</si>
  <si>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</si>
  <si>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</si>
  <si>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</si>
  <si>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</si>
  <si>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</si>
  <si>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</si>
  <si>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</si>
  <si>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</si>
  <si>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</si>
  <si>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</si>
  <si>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</si>
  <si>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</si>
  <si>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</si>
  <si>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</si>
  <si>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</si>
  <si>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</si>
  <si>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</si>
  <si>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</si>
  <si>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</si>
  <si>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</si>
  <si>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</si>
  <si>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</si>
  <si>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</si>
  <si>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</si>
  <si>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</si>
  <si>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</si>
  <si>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</si>
  <si>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</si>
  <si>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</si>
  <si>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</si>
  <si>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</si>
  <si>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</si>
  <si>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</si>
  <si>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</si>
  <si>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</si>
  <si>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</si>
  <si>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</si>
  <si>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</si>
  <si>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</si>
  <si>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</si>
  <si>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</si>
  <si>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</si>
  <si>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</si>
  <si>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</si>
  <si>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</si>
  <si>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</si>
  <si>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</si>
  <si>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</si>
  <si>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</si>
  <si>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</si>
  <si>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</si>
  <si>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</si>
  <si>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</si>
  <si>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</si>
  <si>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</si>
  <si>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</si>
  <si>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</si>
  <si>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</si>
  <si>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</si>
  <si>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</si>
  <si>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</si>
  <si>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</si>
  <si>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</si>
  <si>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</si>
  <si>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</si>
  <si>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</si>
  <si>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</si>
  <si>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</si>
  <si>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</si>
  <si>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</si>
  <si>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</si>
  <si>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</si>
  <si>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</si>
  <si>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</si>
  <si>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</si>
  <si>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</si>
  <si>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</si>
  <si>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</si>
  <si>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</si>
  <si>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</si>
  <si>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</si>
  <si>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</si>
  <si>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</si>
  <si>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</si>
  <si>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</si>
  <si>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</si>
  <si>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</si>
  <si>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</si>
  <si>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</si>
  <si>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</si>
  <si>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</si>
  <si>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</si>
  <si>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</si>
  <si>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</si>
  <si>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</si>
  <si>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</si>
  <si>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</si>
  <si>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</si>
  <si>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</si>
  <si>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</si>
  <si>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</si>
  <si>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</si>
  <si>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</si>
  <si>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</si>
  <si>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</si>
  <si>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</si>
  <si>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</si>
  <si>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</si>
  <si>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</si>
  <si>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</si>
  <si>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</si>
  <si>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</si>
  <si>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</si>
  <si>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</si>
  <si>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</si>
  <si>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</si>
  <si>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</si>
  <si>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</si>
  <si>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</si>
  <si>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</si>
  <si>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</si>
  <si>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</si>
  <si>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</si>
  <si>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</si>
  <si>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</si>
  <si>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</si>
  <si>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</si>
  <si>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</si>
  <si>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</si>
  <si>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</si>
  <si>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</si>
  <si>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</si>
  <si>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</si>
  <si>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</si>
  <si>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</si>
  <si>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</si>
  <si>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</si>
  <si>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</si>
  <si>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</si>
  <si>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</si>
  <si>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</si>
  <si>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</si>
  <si>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</si>
  <si>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</si>
  <si>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</si>
  <si>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</si>
  <si>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</si>
  <si>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</si>
  <si>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</si>
  <si>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</si>
  <si>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</si>
  <si>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</si>
  <si>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</si>
  <si>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</si>
  <si>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</si>
  <si>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</si>
  <si>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</si>
  <si>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</si>
  <si>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</si>
  <si>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</si>
  <si>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</si>
  <si>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</si>
  <si>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</si>
  <si>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</si>
  <si>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</si>
  <si>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</si>
  <si>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</si>
  <si>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</si>
  <si>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</si>
  <si>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</si>
  <si>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</si>
  <si>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</si>
  <si>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</si>
  <si>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</si>
  <si>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</si>
  <si>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</si>
  <si>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</si>
  <si>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</si>
  <si>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</si>
  <si>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</si>
  <si>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</si>
  <si>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</si>
  <si>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</si>
  <si>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</si>
  <si>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</si>
  <si>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</si>
  <si>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</si>
  <si>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</si>
  <si>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</si>
  <si>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</si>
  <si>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</si>
  <si>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</si>
  <si>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</si>
  <si>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</si>
  <si>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</si>
  <si>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</si>
  <si>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</si>
  <si>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</si>
  <si>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</si>
  <si>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</si>
  <si>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</si>
  <si>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</si>
  <si>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</si>
  <si>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</si>
  <si>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</si>
  <si>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</si>
  <si>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</si>
  <si>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</si>
  <si>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</si>
  <si>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</si>
  <si>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</si>
  <si>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</si>
  <si>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</si>
  <si>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</si>
  <si>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</si>
  <si>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</si>
  <si>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</si>
  <si>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</si>
  <si>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</si>
  <si>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</si>
  <si>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</si>
  <si>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</si>
  <si>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</si>
  <si>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</si>
  <si>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</si>
  <si>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</si>
  <si>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</si>
  <si>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</si>
  <si>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</si>
  <si>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</si>
  <si>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</si>
  <si>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</si>
  <si>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</si>
  <si>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</si>
  <si>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</si>
  <si>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</si>
  <si>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</si>
  <si>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</si>
  <si>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</si>
  <si>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</si>
  <si>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</si>
  <si>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</si>
  <si>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</si>
  <si>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</si>
  <si>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</si>
  <si>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</si>
  <si>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</si>
  <si>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</si>
  <si>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</si>
  <si>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</si>
  <si>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</si>
  <si>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</si>
  <si>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</si>
  <si>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</si>
  <si>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</si>
  <si>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</si>
  <si>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</si>
  <si>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</si>
  <si>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</si>
  <si>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</si>
  <si>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</si>
  <si>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</si>
  <si>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</si>
  <si>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</si>
  <si>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</si>
  <si>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</si>
  <si>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</si>
  <si>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</si>
  <si>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</si>
  <si>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</si>
  <si>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</si>
  <si>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</si>
  <si>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</si>
  <si>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</si>
  <si>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</si>
  <si>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</si>
  <si>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</si>
  <si>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</si>
  <si>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</si>
  <si>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</si>
  <si>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</si>
  <si>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</si>
  <si>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</si>
  <si>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</si>
  <si>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</si>
  <si>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</si>
  <si>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</si>
  <si>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</si>
  <si>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</si>
  <si>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</si>
  <si>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</si>
  <si>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</si>
  <si>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</si>
  <si>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</si>
  <si>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</si>
  <si>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</si>
  <si>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</si>
  <si>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</si>
  <si>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</si>
  <si>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</si>
  <si>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</si>
  <si>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</si>
  <si>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</si>
  <si>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</si>
  <si>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</si>
  <si>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</si>
  <si>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</si>
  <si>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</si>
  <si>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</si>
  <si>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</si>
  <si>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</si>
  <si>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</si>
  <si>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</si>
  <si>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</si>
  <si>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</si>
  <si>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</si>
  <si>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</si>
  <si>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</si>
  <si>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</si>
  <si>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</si>
  <si>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</si>
  <si>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</si>
  <si>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</si>
  <si>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</si>
  <si>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</si>
  <si>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</si>
  <si>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</si>
  <si>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</si>
  <si>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</si>
  <si>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</si>
  <si>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</si>
  <si>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</si>
  <si>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</si>
  <si>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</si>
  <si>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</si>
  <si>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</si>
  <si>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</si>
  <si>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</si>
  <si>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</si>
  <si>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</si>
  <si>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</si>
  <si>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</si>
  <si>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</si>
  <si>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</si>
  <si>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</si>
  <si>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</si>
  <si>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</si>
  <si>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</si>
  <si>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</si>
  <si>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</si>
  <si>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</si>
  <si>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</si>
  <si>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</si>
  <si>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</si>
  <si>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</si>
  <si>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</si>
  <si>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</si>
  <si>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</si>
  <si>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</si>
  <si>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</si>
  <si>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</si>
  <si>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</si>
  <si>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</si>
  <si>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</si>
  <si>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</si>
  <si>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</si>
  <si>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</si>
  <si>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</si>
  <si>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</si>
  <si>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</si>
  <si>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</si>
  <si>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</si>
  <si>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</si>
  <si>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</si>
  <si>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</si>
  <si>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</si>
  <si>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</si>
  <si>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</si>
  <si>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</si>
  <si>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</si>
  <si>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</si>
  <si>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</si>
  <si>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</si>
  <si>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</si>
  <si>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</si>
  <si>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</si>
  <si>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</si>
  <si>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</si>
  <si>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</si>
  <si>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</si>
  <si>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</si>
  <si>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</si>
  <si>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</si>
  <si>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</si>
  <si>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</si>
  <si>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</si>
  <si>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</si>
  <si>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</si>
  <si>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</si>
  <si>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</si>
  <si>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</si>
  <si>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</si>
  <si>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</si>
  <si>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</si>
  <si>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</si>
  <si>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</si>
  <si>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</si>
  <si>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</si>
  <si>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</si>
  <si>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</si>
  <si>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</si>
  <si>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</si>
  <si>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</si>
  <si>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</si>
  <si>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</si>
  <si>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</si>
  <si>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</si>
  <si>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</si>
  <si>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</si>
  <si>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</si>
  <si>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</si>
  <si>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</si>
  <si>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</si>
  <si>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</si>
  <si>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</si>
  <si>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</si>
  <si>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</si>
  <si>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</si>
  <si>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</si>
  <si>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</si>
  <si>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</si>
  <si>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</si>
  <si>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</si>
  <si>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</si>
  <si>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</si>
  <si>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</si>
  <si>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</si>
  <si>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</si>
  <si>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</si>
  <si>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</si>
  <si>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</si>
  <si>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</si>
  <si>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</si>
  <si>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</si>
  <si>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</si>
  <si>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</si>
  <si>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</si>
  <si>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</si>
  <si>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</si>
  <si>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</si>
  <si>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</si>
  <si>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</si>
  <si>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</si>
  <si>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</si>
  <si>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</si>
  <si>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</si>
  <si>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</si>
  <si>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</si>
  <si>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</si>
  <si>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</si>
  <si>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</si>
  <si>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</si>
  <si>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</si>
  <si>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</si>
  <si>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</si>
  <si>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</si>
  <si>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</si>
  <si>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</si>
  <si>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</si>
  <si>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</si>
  <si>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</si>
  <si>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</si>
  <si>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</si>
  <si>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</si>
  <si>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</si>
  <si>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</si>
  <si>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</si>
  <si>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</si>
  <si>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</si>
  <si>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</si>
  <si>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</si>
  <si>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</si>
  <si>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</si>
  <si>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</si>
  <si>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</si>
  <si>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</si>
  <si>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</si>
  <si>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</si>
  <si>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</si>
  <si>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</si>
  <si>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</si>
  <si>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</si>
  <si>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</si>
  <si>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</si>
  <si>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</si>
  <si>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</si>
  <si>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</si>
  <si>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</si>
  <si>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</si>
  <si>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</si>
  <si>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</si>
  <si>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</si>
  <si>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</si>
  <si>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</si>
  <si>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</si>
  <si>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</si>
  <si>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</si>
  <si>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</si>
  <si>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</si>
  <si>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</si>
  <si>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</si>
  <si>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</si>
  <si>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</si>
  <si>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</si>
  <si>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</si>
  <si>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</si>
  <si>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</si>
  <si>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</si>
  <si>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</si>
  <si>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</si>
  <si>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</si>
  <si>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</si>
  <si>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</si>
  <si>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</si>
  <si>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</si>
  <si>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</si>
  <si>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</si>
  <si>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</si>
  <si>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</si>
  <si>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</si>
  <si>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</si>
  <si>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</si>
  <si>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</si>
  <si>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</si>
  <si>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</si>
  <si>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</si>
  <si>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</si>
  <si>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</si>
  <si>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</si>
  <si>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</si>
  <si>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</si>
  <si>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</si>
  <si>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</si>
  <si>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</si>
  <si>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</si>
  <si>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</si>
  <si>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</si>
  <si>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</si>
  <si>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</si>
  <si>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</si>
  <si>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</si>
  <si>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</si>
  <si>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</si>
  <si>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</si>
  <si>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</si>
  <si>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</si>
  <si>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</si>
  <si>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</si>
  <si>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</si>
  <si>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</si>
  <si>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</si>
  <si>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</si>
  <si>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</si>
  <si>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</si>
  <si>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</si>
  <si>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</si>
  <si>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</si>
  <si>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</si>
  <si>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</si>
  <si>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</si>
  <si>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</si>
  <si>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</si>
  <si>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</si>
  <si>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</si>
  <si>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</si>
  <si>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</si>
  <si>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</si>
  <si>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</si>
  <si>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</si>
  <si>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</si>
  <si>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</si>
  <si>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</si>
  <si>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</si>
  <si>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</si>
  <si>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</si>
  <si>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</si>
  <si>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</si>
  <si>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</si>
  <si>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</si>
  <si>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</si>
  <si>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</si>
  <si>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</si>
  <si>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</si>
  <si>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</si>
  <si>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</si>
  <si>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</si>
  <si>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</si>
  <si>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</si>
  <si>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</si>
  <si>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</si>
  <si>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</si>
  <si>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</si>
  <si>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</si>
  <si>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</si>
  <si>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</si>
  <si>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</si>
  <si>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</si>
  <si>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</si>
  <si>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</si>
  <si>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</si>
  <si>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</si>
  <si>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</si>
  <si>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</si>
  <si>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</si>
  <si>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</si>
  <si>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</si>
  <si>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</si>
  <si>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</si>
  <si>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</si>
  <si>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</si>
  <si>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</si>
  <si>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</si>
  <si>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</si>
  <si>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</si>
  <si>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</si>
  <si>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</si>
  <si>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</si>
  <si>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</si>
  <si>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</si>
  <si>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</si>
  <si>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</si>
  <si>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</si>
  <si>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</si>
  <si>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</si>
  <si>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</si>
  <si>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</si>
  <si>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</si>
  <si>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</si>
  <si>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</si>
  <si>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</si>
  <si>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</si>
  <si>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</si>
  <si>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</si>
  <si>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</si>
  <si>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</si>
  <si>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</si>
  <si>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</si>
  <si>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</si>
  <si>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</si>
  <si>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</si>
  <si>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</si>
  <si>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</si>
  <si>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</si>
  <si>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</si>
  <si>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</si>
  <si>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</si>
  <si>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</si>
  <si>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</si>
  <si>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</si>
  <si>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</si>
  <si>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</si>
  <si>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</si>
  <si>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</si>
  <si>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</si>
  <si>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</si>
  <si>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</si>
  <si>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</si>
  <si>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</si>
  <si>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</si>
  <si>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</si>
  <si>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</si>
  <si>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</si>
  <si>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</si>
  <si>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</si>
  <si>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</si>
  <si>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</si>
  <si>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</si>
  <si>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</si>
  <si>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</si>
  <si>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</si>
  <si>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</si>
  <si>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</si>
  <si>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</si>
  <si>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</si>
  <si>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</si>
  <si>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</si>
  <si>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</si>
  <si>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</si>
  <si>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</si>
  <si>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</si>
  <si>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</si>
  <si>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</si>
  <si>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</si>
  <si>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</si>
  <si>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</si>
  <si>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</si>
  <si>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</si>
  <si>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</si>
  <si>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</si>
  <si>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</si>
  <si>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</si>
  <si>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</si>
  <si>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</si>
  <si>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</si>
  <si>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</si>
  <si>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</si>
  <si>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</si>
  <si>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</si>
  <si>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</si>
  <si>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NORTHUMBERLAND SCHOOL DISTRICT</t>
  </si>
  <si>
    <t>9/10</t>
  </si>
  <si>
    <t>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</si>
</sst>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407</v>
      </c>
      <c r="C2" s="21">
        <v>407</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358887.56</v>
      </c>
      <c r="G9" s="18"/>
      <c r="H9" s="18"/>
      <c r="I9" s="18"/>
      <c r="J9" s="67">
        <f>SUM(I439)</f>
        <v>340497.02</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3082.97+5957.23+56306.18</f>
        <v>65346.38</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5957.23</v>
      </c>
      <c r="H14" s="18">
        <v>56306.18</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424233.94</v>
      </c>
      <c r="G19" s="41">
        <f>SUM(G9:G18)</f>
        <v>5957.23</v>
      </c>
      <c r="H19" s="41">
        <f>SUM(H9:H18)</f>
        <v>56306.18</v>
      </c>
      <c r="I19" s="41">
        <f>SUM(I9:I18)</f>
        <v>0</v>
      </c>
      <c r="J19" s="41">
        <f>SUM(J9:J18)</f>
        <v>340497.02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5957.23</v>
      </c>
      <c r="H22" s="18">
        <v>56306.18</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1993.72+11309.43</f>
        <v>13303.15</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13303.15</v>
      </c>
      <c r="G32" s="41">
        <f>SUM(G22:G31)</f>
        <v>5957.23</v>
      </c>
      <c r="H32" s="41">
        <f>SUM(H22:H31)</f>
        <v>56306.18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340497.02</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48535.45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362395.34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410930.79000000004</v>
      </c>
      <c r="G51" s="41">
        <f>SUM(G35:G50)</f>
        <v>0</v>
      </c>
      <c r="H51" s="41">
        <f>SUM(H35:H50)</f>
        <v>0</v>
      </c>
      <c r="I51" s="41">
        <f>SUM(I35:I50)</f>
        <v>0</v>
      </c>
      <c r="J51" s="41">
        <f>SUM(J35:J50)</f>
        <v>340497.02</v>
      </c>
      <c r="K51" s="45" t="s">
        <v>288</v>
      </c>
      <c r="L51" s="45" t="s">
        <v>288</v>
      </c>
      <c r="N51" s="264"/>
    </row>
    <row r="52" spans="1:14" s="3" customFormat="1" ht="12.2" customHeight="1" thickTop="1" x14ac:dyDescent="0.15">
      <c r="A52" s="38" t="s">
        <v>455</v>
      </c>
      <c r="B52" s="39" t="s">
        <v>289</v>
      </c>
      <c r="C52" s="6">
        <v>37</v>
      </c>
      <c r="D52" s="39" t="s">
        <v>653</v>
      </c>
      <c r="E52" s="39"/>
      <c r="F52" s="41">
        <f>F51+F32</f>
        <v>424233.94000000006</v>
      </c>
      <c r="G52" s="41">
        <f>G51+G32</f>
        <v>5957.23</v>
      </c>
      <c r="H52" s="41">
        <f>H51+H32</f>
        <v>56306.18</v>
      </c>
      <c r="I52" s="41">
        <f>I51+I32</f>
        <v>0</v>
      </c>
      <c r="J52" s="41">
        <f>J51+J32</f>
        <v>340497.02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1755714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1755714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612530.06999999995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250497</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863027.07</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3105.67</v>
      </c>
      <c r="G96" s="18"/>
      <c r="H96" s="18"/>
      <c r="I96" s="18"/>
      <c r="J96" s="18">
        <v>7513.71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41397.49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10000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238.04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13343.710000000001</v>
      </c>
      <c r="G111" s="41">
        <f>SUM(G96:G110)</f>
        <v>41397.49</v>
      </c>
      <c r="H111" s="41">
        <f>SUM(H96:H110)</f>
        <v>0</v>
      </c>
      <c r="I111" s="41">
        <f>SUM(I96:I110)</f>
        <v>0</v>
      </c>
      <c r="J111" s="41">
        <f>SUM(J96:J110)</f>
        <v>7513.71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2632084.7799999998</v>
      </c>
      <c r="G112" s="41">
        <f>G60+G111</f>
        <v>41397.49</v>
      </c>
      <c r="H112" s="41">
        <f>H60+H79+H94+H111</f>
        <v>0</v>
      </c>
      <c r="I112" s="41">
        <f>I60+I111</f>
        <v>0</v>
      </c>
      <c r="J112" s="41">
        <f>J60+J111</f>
        <v>7513.71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2379231.87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185704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78.239999999999995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2565014.1100000003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9000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25144.79</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10337.799999999999</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1931.63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44482.59</v>
      </c>
      <c r="G136" s="41">
        <f>SUM(G123:G135)</f>
        <v>1931.63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2609496.7000000002</v>
      </c>
      <c r="G140" s="41">
        <f>G121+SUM(G136:G137)</f>
        <v>1931.63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137769.54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114376.62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12651.91</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115213.08+7835.74</f>
        <v>123048.82</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101405.63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52105.67</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52105.67</v>
      </c>
      <c r="G162" s="41">
        <f>SUM(G150:G161)</f>
        <v>123048.82</v>
      </c>
      <c r="H162" s="41">
        <f>SUM(H150:H161)</f>
        <v>366203.7</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52105.67</v>
      </c>
      <c r="G169" s="41">
        <f>G147+G162+SUM(G163:G168)</f>
        <v>123048.82</v>
      </c>
      <c r="H169" s="41">
        <f>H147+H162+SUM(H163:H168)</f>
        <v>366203.7</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1871.28</v>
      </c>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1871.28</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10419.719999999999</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10419.719999999999</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1871.28</v>
      </c>
      <c r="G192" s="41">
        <f>G183+SUM(G188:G191)</f>
        <v>10419.719999999999</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5295558.4300000006</v>
      </c>
      <c r="G193" s="47">
        <f>G112+G140+G169+G192</f>
        <v>176797.66</v>
      </c>
      <c r="H193" s="47">
        <f>H112+H140+H169+H192</f>
        <v>366203.7</v>
      </c>
      <c r="I193" s="47">
        <f>I112+I140+I169+I192</f>
        <v>0</v>
      </c>
      <c r="J193" s="47">
        <f>J112+J140+J192</f>
        <v>7513.71</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421555.72+282275.54+655.19+6335.74+23228.25+10879.43+7780+5165</f>
        <v>757874.87</v>
      </c>
      <c r="G197" s="18">
        <f>47287.81+51132.66+1677.21+1796.05+490.43+289.22+33729.56+22805.74+73346.29+49002.9+8480.7+7317.61+6346.09-38.73-18.38+1941.35+1099.88</f>
        <v>306686.39</v>
      </c>
      <c r="H197" s="18">
        <f>49.95+5613.45+2407.15+112.92+202</f>
        <v>8385.4699999999993</v>
      </c>
      <c r="I197" s="18">
        <f>6462.35+2499.5+758.49+263.28+477.65+448.02+502.39+498.31+504.42+371.32+74.73+522.78+384.58+576.48+374.1+447.6+544.36+794.02+509.11+200+249.09+249.18+147.5+300+538.18+1189.33+180.18+79+130.72+297.6+126.97+312+705.44+202.28+607.83+53.99+95.65+1493.96+1710.1+486.16+77.07+984.08</f>
        <v>27429.800000000007</v>
      </c>
      <c r="J197" s="18">
        <f>200+500+162.76</f>
        <v>862.76</v>
      </c>
      <c r="K197" s="18">
        <f>100+154.95+75+270</f>
        <v>599.95000000000005</v>
      </c>
      <c r="L197" s="19">
        <f>SUM(F197:K197)</f>
        <v>1101839.24</v>
      </c>
      <c r="M197" s="8"/>
      <c r="N197" s="266"/>
    </row>
    <row r="198" spans="1:14" s="3" customFormat="1" ht="12.2" customHeight="1" x14ac:dyDescent="0.15">
      <c r="A198" s="1" t="s">
        <v>439</v>
      </c>
      <c r="B198" s="2" t="s">
        <v>341</v>
      </c>
      <c r="C198" s="2" t="s">
        <v>291</v>
      </c>
      <c r="D198" s="2" t="s">
        <v>431</v>
      </c>
      <c r="E198" s="6">
        <v>1200</v>
      </c>
      <c r="F198" s="18">
        <f>137091.69+51151+163509.42+36758.51+6240+4896.44+7949.16+1898.64</f>
        <v>409494.86</v>
      </c>
      <c r="G198" s="18">
        <f>23066.62+12146.82+888.43+328.41+24515.13+6805.25+25154.38+8879.78+517+996+2091.76+60.95+1145.36+562.56</f>
        <v>107158.45</v>
      </c>
      <c r="H198" s="18">
        <f>37668.54+6418.58+2432.55+47006.51+21384.48</f>
        <v>114910.66</v>
      </c>
      <c r="I198" s="18">
        <f>843.76+180.49+584.49+346.4</f>
        <v>1955.1399999999999</v>
      </c>
      <c r="J198" s="18">
        <f>825.99</f>
        <v>825.99</v>
      </c>
      <c r="K198" s="18"/>
      <c r="L198" s="19">
        <f>SUM(F198:K198)</f>
        <v>634345.1</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11993+8163.46+250</f>
        <v>20406.46</v>
      </c>
      <c r="G200" s="18">
        <f>915.64+621.25+312.95+43.24+425.32+878.31+48.16+48.16+41.84+94.95</f>
        <v>3429.8199999999997</v>
      </c>
      <c r="H200" s="18">
        <f>3316+2470</f>
        <v>5786</v>
      </c>
      <c r="I200" s="18">
        <f>363.88+2499.66</f>
        <v>2863.54</v>
      </c>
      <c r="J200" s="18"/>
      <c r="K200" s="18">
        <f>790+450</f>
        <v>1240</v>
      </c>
      <c r="L200" s="19">
        <f>SUM(F200:K200)</f>
        <v>33725.82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49079.03+14302.88+9561.03+5460+401-488.38+690.74-41.78+59.06+29696.07+8114.45+17684+2520.05+705.56+24256.31+6006.73</f>
        <v>168006.74999999997</v>
      </c>
      <c r="G202" s="18">
        <f>9575.4+301.8+163.53+4213.59+1815+1088.16+8520.18+2483+577.75-21.84+206.92+101.15+30.7+10.29+5.83-3.96+64.99-84.79+119.9-28.91-6.61+69.98+15.78+166.68+49.05+3911.72+716.9+4846.3+1408.68-102.47-28.69-58.94-15.5+2998.29+729.7+152.43+37.86+1855.94+459.56+4210.39+1042.71+1145.17+156.17-80.04-20.81-9.94-2.89</f>
        <v>52786.109999999993</v>
      </c>
      <c r="H202" s="18">
        <f>168.9+740+150+640.98+61666.5+22559.27+120+24.7+165.28+97.47+359.22+226.62+79.96</f>
        <v>86998.9</v>
      </c>
      <c r="I202" s="18">
        <f>259.37+201.63+159.96+496.81+559.74+590.7+285.1+625.2+174.55+389.96</f>
        <v>3743.0200000000004</v>
      </c>
      <c r="J202" s="18">
        <f>345.62+70.48</f>
        <v>416.1</v>
      </c>
      <c r="K202" s="18">
        <f>179</f>
        <v>179</v>
      </c>
      <c r="L202" s="19">
        <f t="shared" ref="L202:L208" si="0">SUM(F202:K202)</f>
        <v>312129.87999999995</v>
      </c>
      <c r="M202" s="8"/>
      <c r="N202" s="266"/>
    </row>
    <row r="203" spans="1:14" s="3" customFormat="1" ht="12.2" customHeight="1" x14ac:dyDescent="0.15">
      <c r="A203" s="1" t="s">
        <v>443</v>
      </c>
      <c r="B203" s="2" t="s">
        <v>341</v>
      </c>
      <c r="C203" s="2" t="s">
        <v>295</v>
      </c>
      <c r="D203" s="2" t="s">
        <v>431</v>
      </c>
      <c r="E203" s="6">
        <v>2200</v>
      </c>
      <c r="F203" s="18">
        <f>11120.58+8087.66+9207.47+5531.06</f>
        <v>33946.769999999997</v>
      </c>
      <c r="G203" s="18">
        <f>1770.08+1287.3+76.43+55.65+841.36+611.94+1930.51+1404.04+63.27+46.01+88.62+64.54+1335.02+796.24+66.23+39.75+694.41+416.95+1047.7+629.45-15.24-8.99+26.11+20.62</f>
        <v>13288.000000000005</v>
      </c>
      <c r="H203" s="18">
        <f>1984+811.71+150+396.49+427.68</f>
        <v>3769.8799999999997</v>
      </c>
      <c r="I203" s="18">
        <f>485.88+227.2+738.73+337.28+428.26+1750</f>
        <v>3967.35</v>
      </c>
      <c r="J203" s="18"/>
      <c r="K203" s="18"/>
      <c r="L203" s="19">
        <f t="shared" si="0"/>
        <v>54972</v>
      </c>
      <c r="M203" s="8"/>
      <c r="N203" s="266"/>
    </row>
    <row r="204" spans="1:14" s="3" customFormat="1" ht="12.2" customHeight="1" x14ac:dyDescent="0.15">
      <c r="A204" s="1" t="s">
        <v>444</v>
      </c>
      <c r="B204" s="2" t="s">
        <v>341</v>
      </c>
      <c r="C204" s="2" t="s">
        <v>296</v>
      </c>
      <c r="D204" s="2" t="s">
        <v>431</v>
      </c>
      <c r="E204" s="6">
        <v>2300</v>
      </c>
      <c r="F204" s="18">
        <v>2567</v>
      </c>
      <c r="G204" s="18">
        <v>221.59</v>
      </c>
      <c r="H204" s="18">
        <v>238809.59</v>
      </c>
      <c r="I204" s="18">
        <v>787</v>
      </c>
      <c r="J204" s="18"/>
      <c r="K204" s="18">
        <v>3027.75</v>
      </c>
      <c r="L204" s="19">
        <f t="shared" si="0"/>
        <v>245412.93</v>
      </c>
      <c r="M204" s="8"/>
      <c r="N204" s="266"/>
    </row>
    <row r="205" spans="1:14" s="3" customFormat="1" ht="12.2" customHeight="1" x14ac:dyDescent="0.15">
      <c r="A205" s="1" t="s">
        <v>445</v>
      </c>
      <c r="B205" s="2" t="s">
        <v>341</v>
      </c>
      <c r="C205" s="2" t="s">
        <v>297</v>
      </c>
      <c r="D205" s="2" t="s">
        <v>431</v>
      </c>
      <c r="E205" s="6">
        <v>2400</v>
      </c>
      <c r="F205" s="18">
        <f>69360+29482.65+14521.5+36686.65+14972.35+6000+1574.29+2853+17633.98+10399.57+8500.22+5065.75</f>
        <v>217049.96000000002</v>
      </c>
      <c r="G205" s="18">
        <f>10728+9509.43+724.8+406.59+8716.02+4590.77+4407.13+1703.9+12040.87+7639.24+713.18+659.28+477.79+288.03+7170.86+4260.44+194.94+112.76+1951.21+1154.66+967.36+576.53+3061.25+1805.4+1559.99+920-35.88-21.16+65.14+49.69</f>
        <v>86398.22</v>
      </c>
      <c r="H205" s="18">
        <f>155+19+1199.15+374.99+706.9+1097.15+38.15+91.56+193.19+96.6+300+484.5+1329.29+549.95</f>
        <v>6635.43</v>
      </c>
      <c r="I205" s="18">
        <f>881.74+238.34+495.28+14622.95+6696.43+447.32+307.43+450.55+181.7</f>
        <v>24321.74</v>
      </c>
      <c r="J205" s="18">
        <f>500+102.01+1305+1000+419</f>
        <v>3326.01</v>
      </c>
      <c r="K205" s="18">
        <f>390+3521.62+2212.35</f>
        <v>6123.9699999999993</v>
      </c>
      <c r="L205" s="19">
        <f t="shared" si="0"/>
        <v>343855.33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42209.93+30531.11+2260.69+5149.6+2965.02+2253.77+1307.65+1327.99+918.42</f>
        <v>88924.180000000022</v>
      </c>
      <c r="G207" s="18">
        <f>11832.58+6386.86+260.08+185.67+4069.3+2708.45+4967.66+3524.55+1275.07+81+978.71+686.83</f>
        <v>36956.76</v>
      </c>
      <c r="H207" s="18">
        <f>9101.62+1886.84+4820+1872+21997.73+12334.46+5938.14+3501.98+1206.63+1229.03+173.01+102.03+2322</f>
        <v>66485.47</v>
      </c>
      <c r="I207" s="18">
        <f>10347.37+6882.16+17551.14+13115.67+1554.05+330.96+23274.95+14944.57</f>
        <v>88000.87</v>
      </c>
      <c r="J207" s="18">
        <f>3114.98+1082.83</f>
        <v>4197.8099999999995</v>
      </c>
      <c r="K207" s="18"/>
      <c r="L207" s="19">
        <f t="shared" si="0"/>
        <v>284565.09000000003</v>
      </c>
      <c r="M207" s="8"/>
      <c r="N207" s="266"/>
    </row>
    <row r="208" spans="1:14" s="3" customFormat="1" ht="12.2" customHeight="1" x14ac:dyDescent="0.15">
      <c r="A208" s="1" t="s">
        <v>448</v>
      </c>
      <c r="B208" s="2" t="s">
        <v>341</v>
      </c>
      <c r="C208" s="2" t="s">
        <v>300</v>
      </c>
      <c r="D208" s="2" t="s">
        <v>431</v>
      </c>
      <c r="E208" s="6">
        <v>2700</v>
      </c>
      <c r="F208" s="18"/>
      <c r="G208" s="18"/>
      <c r="H208" s="18">
        <f>41343.73+21753.71+198.36+6474+3180+3960+4471+1460</f>
        <v>82840.800000000003</v>
      </c>
      <c r="I208" s="18"/>
      <c r="J208" s="18"/>
      <c r="K208" s="18"/>
      <c r="L208" s="19">
        <f t="shared" si="0"/>
        <v>82840.800000000003</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1698270.8499999999</v>
      </c>
      <c r="G211" s="41">
        <f t="shared" si="1"/>
        <v>606925.34000000008</v>
      </c>
      <c r="H211" s="41">
        <f t="shared" si="1"/>
        <v>614622.20000000007</v>
      </c>
      <c r="I211" s="41">
        <f t="shared" si="1"/>
        <v>153068.46000000002</v>
      </c>
      <c r="J211" s="41">
        <f t="shared" si="1"/>
        <v>9628.67</v>
      </c>
      <c r="K211" s="41">
        <f t="shared" si="1"/>
        <v>11170.669999999998</v>
      </c>
      <c r="L211" s="41">
        <f t="shared" si="1"/>
        <v>3093686.19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f>633331.52+1275+11078.76+244.7+17211.94+11730</f>
        <v>674871.91999999993</v>
      </c>
      <c r="G233" s="18">
        <f>84610.88+3874.87+477.85+51367.07+110163.81+2631.3+9384.16-25.08+2876.45</f>
        <v>265361.31</v>
      </c>
      <c r="H233" s="18">
        <f>4166.29+214.93+496.96+300+500</f>
        <v>5678.18</v>
      </c>
      <c r="I233" s="18">
        <f>3000.71+495.66+834.52+1001.77+519.14+132.46+398.02+68.41+500+800+512.43+2274.75+2849.1+200.55+200+139.8+231.94+451.49+3377.51+869.45+84.46+78.76+993.03+1200</f>
        <v>21213.96</v>
      </c>
      <c r="J233" s="18">
        <f>120+1500+899.25+1251.19+297.59</f>
        <v>4068.03</v>
      </c>
      <c r="K233" s="18">
        <f>135+205+100+100+270</f>
        <v>810</v>
      </c>
      <c r="L233" s="19">
        <f>SUM(F233:K233)</f>
        <v>972003.4</v>
      </c>
      <c r="M233" s="8"/>
      <c r="N233" s="266"/>
    </row>
    <row r="234" spans="1:14" s="3" customFormat="1" ht="12.2" customHeight="1" x14ac:dyDescent="0.15">
      <c r="A234" s="1" t="s">
        <v>439</v>
      </c>
      <c r="B234" s="2" t="s">
        <v>350</v>
      </c>
      <c r="C234" s="2" t="s">
        <v>291</v>
      </c>
      <c r="D234" s="2" t="s">
        <v>431</v>
      </c>
      <c r="E234" s="6">
        <v>1200</v>
      </c>
      <c r="F234" s="18">
        <f>46529.95+19787.33+3017.96</f>
        <v>69335.240000000005</v>
      </c>
      <c r="G234" s="18">
        <f>13602.56+295.52+5272.2+8077.61+278+241.75+244.68</f>
        <v>28012.32</v>
      </c>
      <c r="H234" s="18">
        <f>14000+97532.3</f>
        <v>111532.3</v>
      </c>
      <c r="I234" s="18">
        <f>195.6+926.93</f>
        <v>1122.53</v>
      </c>
      <c r="J234" s="18"/>
      <c r="K234" s="18"/>
      <c r="L234" s="19">
        <f>SUM(F234:K234)</f>
        <v>210002.38999999998</v>
      </c>
      <c r="M234" s="8"/>
      <c r="N234" s="266"/>
    </row>
    <row r="235" spans="1:14" s="3" customFormat="1" ht="12.2" customHeight="1" x14ac:dyDescent="0.15">
      <c r="A235" s="1" t="s">
        <v>440</v>
      </c>
      <c r="B235" s="2" t="s">
        <v>350</v>
      </c>
      <c r="C235" s="2" t="s">
        <v>292</v>
      </c>
      <c r="D235" s="2" t="s">
        <v>431</v>
      </c>
      <c r="E235" s="6">
        <v>1300</v>
      </c>
      <c r="F235" s="18"/>
      <c r="G235" s="18"/>
      <c r="H235" s="18">
        <f>15877.58</f>
        <v>15877.58</v>
      </c>
      <c r="I235" s="18"/>
      <c r="J235" s="18"/>
      <c r="K235" s="18"/>
      <c r="L235" s="19">
        <f>SUM(F235:K235)</f>
        <v>15877.58</v>
      </c>
      <c r="M235" s="8"/>
      <c r="N235" s="266"/>
    </row>
    <row r="236" spans="1:14" s="3" customFormat="1" ht="12.2" customHeight="1" x14ac:dyDescent="0.15">
      <c r="A236" s="1" t="s">
        <v>441</v>
      </c>
      <c r="B236" s="2" t="s">
        <v>350</v>
      </c>
      <c r="C236" s="2" t="s">
        <v>293</v>
      </c>
      <c r="D236" s="2" t="s">
        <v>431</v>
      </c>
      <c r="E236" s="6">
        <v>1400</v>
      </c>
      <c r="F236" s="18">
        <f>36804.54+265</f>
        <v>37069.54</v>
      </c>
      <c r="G236" s="18">
        <f>2799.82+411.95+3785.2+192.66+68.32+155.04</f>
        <v>7412.9899999999989</v>
      </c>
      <c r="H236" s="18">
        <f>14874.83+799.76+200</f>
        <v>15874.59</v>
      </c>
      <c r="I236" s="18">
        <f>3999.99+500+493.15</f>
        <v>4993.1399999999994</v>
      </c>
      <c r="J236" s="18"/>
      <c r="K236" s="18">
        <v>2835</v>
      </c>
      <c r="L236" s="19">
        <f>SUM(F236:K236)</f>
        <v>68185.259999999995</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23336.32+15625.08+599+67.47+5.8+1545.52+134.38+1007.23</f>
        <v>42320.800000000003</v>
      </c>
      <c r="G238" s="18">
        <f>15636.6+266.79+2963.13+1778.02+4051.09+952.66+175.32+45.81+2.5+20.34+11.73+29.22-11.83+9.37+136.85+268.35-5.47-2.22+125.13+6.37+77.09+174.84-3.19-0.66</f>
        <v>26707.839999999997</v>
      </c>
      <c r="H238" s="18">
        <f>740+150+1409.25+36807.23+40.3+161.05</f>
        <v>39307.830000000009</v>
      </c>
      <c r="I238" s="18">
        <f>285.79+89.99+799.92+499.5+15.6</f>
        <v>1690.8</v>
      </c>
      <c r="J238" s="18">
        <f>116.85</f>
        <v>116.85</v>
      </c>
      <c r="K238" s="18">
        <f>750.1</f>
        <v>750.1</v>
      </c>
      <c r="L238" s="19">
        <f t="shared" ref="L238:L244" si="4">SUM(F238:K238)</f>
        <v>110894.22000000002</v>
      </c>
      <c r="M238" s="8"/>
      <c r="N238" s="266"/>
    </row>
    <row r="239" spans="1:14" s="3" customFormat="1" ht="12.2" customHeight="1" x14ac:dyDescent="0.15">
      <c r="A239" s="1" t="s">
        <v>443</v>
      </c>
      <c r="B239" s="2" t="s">
        <v>350</v>
      </c>
      <c r="C239" s="2" t="s">
        <v>295</v>
      </c>
      <c r="D239" s="2" t="s">
        <v>431</v>
      </c>
      <c r="E239" s="6">
        <v>2200</v>
      </c>
      <c r="F239" s="18">
        <f>14490.76+9108.03</f>
        <v>23598.79</v>
      </c>
      <c r="G239" s="18">
        <f>2306.62+99.76+1096.28+2515.7+82.44+115.6+1313.07+65.27+686.85+1036.48-14.85+37.99</f>
        <v>9341.2099999999991</v>
      </c>
      <c r="H239" s="18">
        <f>1743.46+1250</f>
        <v>2993.46</v>
      </c>
      <c r="I239" s="18">
        <f>233.71+562.27+2515</f>
        <v>3310.98</v>
      </c>
      <c r="J239" s="18"/>
      <c r="K239" s="18"/>
      <c r="L239" s="19">
        <f t="shared" si="4"/>
        <v>39244.44</v>
      </c>
      <c r="M239" s="8"/>
      <c r="N239" s="266"/>
    </row>
    <row r="240" spans="1:14" s="3" customFormat="1" ht="12.2" customHeight="1" x14ac:dyDescent="0.15">
      <c r="A240" s="1" t="s">
        <v>444</v>
      </c>
      <c r="B240" s="2" t="s">
        <v>350</v>
      </c>
      <c r="C240" s="2" t="s">
        <v>296</v>
      </c>
      <c r="D240" s="2" t="s">
        <v>431</v>
      </c>
      <c r="E240" s="6">
        <v>2300</v>
      </c>
      <c r="F240" s="18">
        <v>1573</v>
      </c>
      <c r="G240" s="18">
        <v>135</v>
      </c>
      <c r="H240" s="18">
        <v>146368</v>
      </c>
      <c r="I240" s="18">
        <v>483</v>
      </c>
      <c r="J240" s="18"/>
      <c r="K240" s="18">
        <v>1855</v>
      </c>
      <c r="L240" s="19">
        <f t="shared" si="4"/>
        <v>150414</v>
      </c>
      <c r="M240" s="8"/>
      <c r="N240" s="266"/>
    </row>
    <row r="241" spans="1:14" s="3" customFormat="1" ht="12.2" customHeight="1" x14ac:dyDescent="0.15">
      <c r="A241" s="1" t="s">
        <v>445</v>
      </c>
      <c r="B241" s="2" t="s">
        <v>350</v>
      </c>
      <c r="C241" s="2" t="s">
        <v>297</v>
      </c>
      <c r="D241" s="2" t="s">
        <v>431</v>
      </c>
      <c r="E241" s="6">
        <v>2400</v>
      </c>
      <c r="F241" s="18">
        <f>49057.35+23692.79+24469.23+2568.57+974+17181.93+8404.91</f>
        <v>126348.78</v>
      </c>
      <c r="G241" s="18">
        <f>15702.57+669.69+7640.51+2784.52+12629.36+1075.68+496.1+7061.95+186.69+1910.45+956.39+2982.77+1520-34.96+94.09</f>
        <v>55675.80999999999</v>
      </c>
      <c r="H241" s="18">
        <f>31+351+831.45+55.68+193.17+300+908.6</f>
        <v>2670.9</v>
      </c>
      <c r="I241" s="18">
        <f>707.93+11218.5+230.52+300.2</f>
        <v>12457.150000000001</v>
      </c>
      <c r="J241" s="18">
        <f>100+1000</f>
        <v>1100</v>
      </c>
      <c r="K241" s="18">
        <f>1330+3145.95</f>
        <v>4475.95</v>
      </c>
      <c r="L241" s="19">
        <f t="shared" si="4"/>
        <v>202728.59</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f>47571.15+5016.65+2196.15+1512.8</f>
        <v>56296.750000000007</v>
      </c>
      <c r="G243" s="18">
        <f>9425.86+277.73+4266.46+5469.52+133.78+1050.95</f>
        <v>20624.3</v>
      </c>
      <c r="H243" s="18">
        <f>2370.09+2808+21844.9+5785.88+2005.22+168.57+1422</f>
        <v>36404.660000000003</v>
      </c>
      <c r="I243" s="18">
        <f>11736.15+21547.19+497.62+27795.72</f>
        <v>61576.68</v>
      </c>
      <c r="J243" s="18">
        <f>1780.94</f>
        <v>1780.94</v>
      </c>
      <c r="K243" s="18"/>
      <c r="L243" s="19">
        <f t="shared" si="4"/>
        <v>176683.33000000002</v>
      </c>
      <c r="M243" s="8"/>
      <c r="N243" s="266"/>
    </row>
    <row r="244" spans="1:14" s="3" customFormat="1" ht="12.2" customHeight="1" x14ac:dyDescent="0.15">
      <c r="A244" s="1" t="s">
        <v>448</v>
      </c>
      <c r="B244" s="2" t="s">
        <v>350</v>
      </c>
      <c r="C244" s="2" t="s">
        <v>300</v>
      </c>
      <c r="D244" s="2" t="s">
        <v>431</v>
      </c>
      <c r="E244" s="6">
        <v>2700</v>
      </c>
      <c r="F244" s="18"/>
      <c r="G244" s="18"/>
      <c r="H244" s="18">
        <f>69553.56+11433.44+11616.25+3639.67</f>
        <v>96242.92</v>
      </c>
      <c r="I244" s="18"/>
      <c r="J244" s="18"/>
      <c r="K244" s="18"/>
      <c r="L244" s="19">
        <f t="shared" si="4"/>
        <v>96242.92</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1031414.8200000001</v>
      </c>
      <c r="G247" s="41">
        <f t="shared" si="5"/>
        <v>413270.77999999997</v>
      </c>
      <c r="H247" s="41">
        <f t="shared" si="5"/>
        <v>472950.42</v>
      </c>
      <c r="I247" s="41">
        <f t="shared" si="5"/>
        <v>106848.23999999999</v>
      </c>
      <c r="J247" s="41">
        <f t="shared" si="5"/>
        <v>7065.82</v>
      </c>
      <c r="K247" s="41">
        <f t="shared" si="5"/>
        <v>10726.05</v>
      </c>
      <c r="L247" s="41">
        <f t="shared" si="5"/>
        <v>2042276.1300000001</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f>23249.72+26975.27+44010.64</f>
        <v>94235.63</v>
      </c>
      <c r="I255" s="18"/>
      <c r="J255" s="18"/>
      <c r="K255" s="18"/>
      <c r="L255" s="19">
        <f t="shared" si="6"/>
        <v>94235.63</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94235.63</v>
      </c>
      <c r="I256" s="41">
        <f t="shared" si="7"/>
        <v>0</v>
      </c>
      <c r="J256" s="41">
        <f t="shared" si="7"/>
        <v>0</v>
      </c>
      <c r="K256" s="41">
        <f t="shared" si="7"/>
        <v>0</v>
      </c>
      <c r="L256" s="41">
        <f>SUM(F256:K256)</f>
        <v>94235.63</v>
      </c>
      <c r="M256" s="8"/>
      <c r="N256" s="266"/>
    </row>
    <row r="257" spans="1:14" s="3" customFormat="1" ht="12.2" customHeight="1" thickTop="1" x14ac:dyDescent="0.15">
      <c r="A257" s="38" t="s">
        <v>462</v>
      </c>
      <c r="B257" s="40">
        <v>10</v>
      </c>
      <c r="C257" s="40">
        <v>8</v>
      </c>
      <c r="D257" s="39" t="s">
        <v>431</v>
      </c>
      <c r="E257" s="40"/>
      <c r="F257" s="41">
        <f t="shared" ref="F257:L257" si="8">F211+F229+F247+F256</f>
        <v>2729685.67</v>
      </c>
      <c r="G257" s="41">
        <f t="shared" si="8"/>
        <v>1020196.1200000001</v>
      </c>
      <c r="H257" s="41">
        <f t="shared" si="8"/>
        <v>1181808.25</v>
      </c>
      <c r="I257" s="41">
        <f t="shared" si="8"/>
        <v>259916.7</v>
      </c>
      <c r="J257" s="41">
        <f t="shared" si="8"/>
        <v>16694.489999999998</v>
      </c>
      <c r="K257" s="41">
        <f t="shared" si="8"/>
        <v>21896.719999999998</v>
      </c>
      <c r="L257" s="41">
        <f t="shared" si="8"/>
        <v>5230197.95</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15000</v>
      </c>
      <c r="L260" s="19">
        <f>SUM(F260:K260)</f>
        <v>15000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2021.25</v>
      </c>
      <c r="L261" s="19">
        <f>SUM(F261:K261)</f>
        <v>2021.25</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10419.719999999999</v>
      </c>
      <c r="L263" s="19">
        <f>SUM(F263:K263)</f>
        <v>10419.719999999999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24636</v>
      </c>
      <c r="L268" s="19">
        <f t="shared" si="9"/>
        <v>24636</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52076.97</v>
      </c>
      <c r="L270" s="41">
        <f t="shared" si="9"/>
        <v>52076.97</v>
      </c>
      <c r="N270" s="264"/>
    </row>
    <row r="271" spans="1:14" s="3" customFormat="1" ht="12.2" customHeight="1" thickTop="1" x14ac:dyDescent="0.2">
      <c r="A271" s="43" t="s">
        <v>464</v>
      </c>
      <c r="B271" s="40">
        <v>10</v>
      </c>
      <c r="C271" s="40">
        <v>18</v>
      </c>
      <c r="D271" s="39" t="s">
        <v>431</v>
      </c>
      <c r="E271" s="40"/>
      <c r="F271" s="42">
        <f t="shared" ref="F271:L271" si="11">F257+F270</f>
        <v>2729685.67</v>
      </c>
      <c r="G271" s="42">
        <f t="shared" si="11"/>
        <v>1020196.1200000001</v>
      </c>
      <c r="H271" s="42">
        <f t="shared" si="11"/>
        <v>1181808.25</v>
      </c>
      <c r="I271" s="42">
        <f t="shared" si="11"/>
        <v>259916.7</v>
      </c>
      <c r="J271" s="42">
        <f t="shared" si="11"/>
        <v>16694.489999999998</v>
      </c>
      <c r="K271" s="42">
        <f t="shared" si="11"/>
        <v>73973.69</v>
      </c>
      <c r="L271" s="42">
        <f t="shared" si="11"/>
        <v>5282274.92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9130+8400</f>
        <v>17530</v>
      </c>
      <c r="G276" s="18">
        <f>1575+642.6+874.94</f>
        <v>3092.54</v>
      </c>
      <c r="H276" s="18">
        <f>1420+1365+4534.42</f>
        <v>7319.42</v>
      </c>
      <c r="I276" s="18">
        <f>1500+1437.5+97.45+2627.1+106.78</f>
        <v>5768.829999999999</v>
      </c>
      <c r="J276" s="18">
        <f>1464.17+532.14+356.96+9540</f>
        <v>11893.27</v>
      </c>
      <c r="K276" s="18">
        <f>2000</f>
        <v>2000</v>
      </c>
      <c r="L276" s="19">
        <f>SUM(F276:K276)</f>
        <v>47604.06</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f>9975+12600</f>
        <v>22575</v>
      </c>
      <c r="G279" s="18">
        <f>1809.24+1355</f>
        <v>3164.24</v>
      </c>
      <c r="H279" s="18"/>
      <c r="I279" s="18">
        <f>235.06+2744.56+1914.49+2387.55+266.9</f>
        <v>7548.5599999999995</v>
      </c>
      <c r="J279" s="18"/>
      <c r="K279" s="18"/>
      <c r="L279" s="19">
        <f>SUM(F279:K279)</f>
        <v>33287.799999999996</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f>58302.79+39378.47+8950.5+1155.96+10452.27+2721.95</f>
        <v>120961.94000000002</v>
      </c>
      <c r="G281" s="18">
        <f>10728+357.12+4404.88+10121.3+206.55+46.95+2986.78+678.87+6297.5+1431.34+88.43+184.62+1956.37+509.47+57.77+15.04+799.37+208.17+1814.93+472.64</f>
        <v>43366.1</v>
      </c>
      <c r="H281" s="18"/>
      <c r="I281" s="18">
        <f>103.75</f>
        <v>103.75</v>
      </c>
      <c r="J281" s="18"/>
      <c r="K281" s="18"/>
      <c r="L281" s="19">
        <f t="shared" ref="L281:L287" si="12">SUM(F281:K281)</f>
        <v>164431.79</v>
      </c>
      <c r="M281" s="8"/>
      <c r="N281" s="266"/>
    </row>
    <row r="282" spans="1:14" s="3" customFormat="1" ht="12.2" customHeight="1" x14ac:dyDescent="0.15">
      <c r="A282" s="1" t="s">
        <v>443</v>
      </c>
      <c r="B282" s="2" t="s">
        <v>357</v>
      </c>
      <c r="C282" s="2" t="s">
        <v>295</v>
      </c>
      <c r="D282" s="2" t="s">
        <v>431</v>
      </c>
      <c r="E282" s="6">
        <v>2200</v>
      </c>
      <c r="F282" s="18"/>
      <c r="G282" s="18"/>
      <c r="H282" s="18">
        <f>1329.71</f>
        <v>1329.71</v>
      </c>
      <c r="I282" s="18">
        <f>407.41</f>
        <v>407.41</v>
      </c>
      <c r="J282" s="18"/>
      <c r="K282" s="18"/>
      <c r="L282" s="19">
        <f t="shared" si="12"/>
        <v>1737.1200000000001</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f>4500</f>
        <v>4500</v>
      </c>
      <c r="G284" s="18">
        <f>343.82+781.2</f>
        <v>1125.02</v>
      </c>
      <c r="H284" s="18"/>
      <c r="I284" s="18"/>
      <c r="J284" s="18"/>
      <c r="K284" s="18"/>
      <c r="L284" s="19">
        <f t="shared" si="12"/>
        <v>5625.02</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165566.94</v>
      </c>
      <c r="G290" s="42">
        <f t="shared" si="13"/>
        <v>50747.899999999994</v>
      </c>
      <c r="H290" s="42">
        <f t="shared" si="13"/>
        <v>8649.130000000001</v>
      </c>
      <c r="I290" s="42">
        <f t="shared" si="13"/>
        <v>13828.55</v>
      </c>
      <c r="J290" s="42">
        <f t="shared" si="13"/>
        <v>11893.27</v>
      </c>
      <c r="K290" s="42">
        <f t="shared" si="13"/>
        <v>2000</v>
      </c>
      <c r="L290" s="41">
        <f t="shared" si="13"/>
        <v>252685.78999999998</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f>1600+3380+19470+3100</f>
        <v>27550</v>
      </c>
      <c r="G314" s="18">
        <f>122.4+257.64+1490.43+232.81+538.17</f>
        <v>2641.4500000000003</v>
      </c>
      <c r="H314" s="18">
        <f>413.9+1403.7</f>
        <v>1817.6</v>
      </c>
      <c r="I314" s="18">
        <f>802.64+350</f>
        <v>1152.6399999999999</v>
      </c>
      <c r="J314" s="18">
        <f>907.78+348.92</f>
        <v>1256.7</v>
      </c>
      <c r="K314" s="18">
        <f>460</f>
        <v>460</v>
      </c>
      <c r="L314" s="19">
        <f>SUM(F314:K314)</f>
        <v>34878.39</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f>16109.87+435.51</f>
        <v>16545.38</v>
      </c>
      <c r="G319" s="18">
        <f>84.5+1221.9+2576.39+81.52+2.41+33.31+75.62</f>
        <v>4075.6499999999996</v>
      </c>
      <c r="H319" s="18"/>
      <c r="I319" s="18"/>
      <c r="J319" s="18"/>
      <c r="K319" s="18"/>
      <c r="L319" s="19">
        <f t="shared" ref="L319:L325" si="16">SUM(F319:K319)</f>
        <v>20621.03</v>
      </c>
      <c r="M319" s="8"/>
      <c r="N319" s="266"/>
    </row>
    <row r="320" spans="1:14" s="3" customFormat="1" ht="12.2" customHeight="1" x14ac:dyDescent="0.15">
      <c r="A320" s="1" t="s">
        <v>443</v>
      </c>
      <c r="B320" s="2" t="s">
        <v>359</v>
      </c>
      <c r="C320" s="2" t="s">
        <v>295</v>
      </c>
      <c r="D320" s="2" t="s">
        <v>431</v>
      </c>
      <c r="E320" s="6">
        <v>2200</v>
      </c>
      <c r="F320" s="18">
        <f>400+2500</f>
        <v>2900</v>
      </c>
      <c r="G320" s="18">
        <f>29.98+67.96+4725+188.43+434</f>
        <v>5445.37</v>
      </c>
      <c r="H320" s="18">
        <f>1445+300</f>
        <v>1745</v>
      </c>
      <c r="I320" s="18"/>
      <c r="J320" s="18"/>
      <c r="K320" s="18"/>
      <c r="L320" s="19">
        <f t="shared" si="16"/>
        <v>10090.369999999999</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f>1000</f>
        <v>1000</v>
      </c>
      <c r="G322" s="18">
        <f>76.5+113.8</f>
        <v>190.3</v>
      </c>
      <c r="H322" s="18"/>
      <c r="I322" s="18"/>
      <c r="J322" s="18"/>
      <c r="K322" s="18"/>
      <c r="L322" s="19">
        <f t="shared" si="16"/>
        <v>1190.3</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47995.380000000005</v>
      </c>
      <c r="G328" s="42">
        <f t="shared" si="17"/>
        <v>12352.77</v>
      </c>
      <c r="H328" s="42">
        <f t="shared" si="17"/>
        <v>3562.6</v>
      </c>
      <c r="I328" s="42">
        <f t="shared" si="17"/>
        <v>1152.6399999999999</v>
      </c>
      <c r="J328" s="42">
        <f t="shared" si="17"/>
        <v>1256.7</v>
      </c>
      <c r="K328" s="42">
        <f t="shared" si="17"/>
        <v>460</v>
      </c>
      <c r="L328" s="41">
        <f t="shared" si="17"/>
        <v>66780.09</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f>9625</f>
        <v>9625</v>
      </c>
      <c r="G333" s="18">
        <f>730.22+1670.9</f>
        <v>2401.12</v>
      </c>
      <c r="H333" s="18">
        <f>344.94</f>
        <v>344.94</v>
      </c>
      <c r="I333" s="18">
        <f>134.35</f>
        <v>134.35</v>
      </c>
      <c r="J333" s="18"/>
      <c r="K333" s="18">
        <f>146.5</f>
        <v>146.5</v>
      </c>
      <c r="L333" s="19">
        <f t="shared" si="18"/>
        <v>12651.91</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f>17283.83+6744.24+10057.84</f>
        <v>34085.910000000003</v>
      </c>
      <c r="I336" s="18"/>
      <c r="J336" s="18"/>
      <c r="K336" s="18"/>
      <c r="L336" s="19">
        <f t="shared" si="18"/>
        <v>34085.910000000003</v>
      </c>
      <c r="M336" s="8"/>
      <c r="N336" s="266"/>
    </row>
    <row r="337" spans="1:43" s="3" customFormat="1" ht="12.2" customHeight="1" thickTop="1" thickBot="1" x14ac:dyDescent="0.2">
      <c r="A337" s="50" t="s">
        <v>467</v>
      </c>
      <c r="B337" s="40">
        <v>14</v>
      </c>
      <c r="C337" s="51">
        <v>6</v>
      </c>
      <c r="D337" s="48" t="s">
        <v>431</v>
      </c>
      <c r="E337" s="51"/>
      <c r="F337" s="41">
        <f t="shared" ref="F337:K337" si="19">SUM(F332:F336)</f>
        <v>9625</v>
      </c>
      <c r="G337" s="41">
        <f t="shared" si="19"/>
        <v>2401.12</v>
      </c>
      <c r="H337" s="41">
        <f t="shared" si="19"/>
        <v>34430.850000000006</v>
      </c>
      <c r="I337" s="41">
        <f t="shared" si="19"/>
        <v>134.35</v>
      </c>
      <c r="J337" s="41">
        <f t="shared" si="19"/>
        <v>0</v>
      </c>
      <c r="K337" s="41">
        <f t="shared" si="19"/>
        <v>146.5</v>
      </c>
      <c r="L337" s="41">
        <f t="shared" si="18"/>
        <v>46737.82</v>
      </c>
      <c r="M337" s="8"/>
      <c r="N337" s="266"/>
    </row>
    <row r="338" spans="1:43" s="3" customFormat="1" ht="12.2" customHeight="1" thickTop="1" x14ac:dyDescent="0.15">
      <c r="A338" s="38" t="s">
        <v>468</v>
      </c>
      <c r="B338" s="40">
        <v>14</v>
      </c>
      <c r="C338" s="40">
        <v>7</v>
      </c>
      <c r="D338" s="39" t="s">
        <v>431</v>
      </c>
      <c r="E338" s="40"/>
      <c r="F338" s="41">
        <f t="shared" ref="F338:L338" si="20">F290+F309+F328+F337</f>
        <v>223187.32</v>
      </c>
      <c r="G338" s="41">
        <f t="shared" si="20"/>
        <v>65501.79</v>
      </c>
      <c r="H338" s="41">
        <f t="shared" si="20"/>
        <v>46642.580000000009</v>
      </c>
      <c r="I338" s="41">
        <f t="shared" si="20"/>
        <v>15115.539999999999</v>
      </c>
      <c r="J338" s="41">
        <f t="shared" si="20"/>
        <v>13149.970000000001</v>
      </c>
      <c r="K338" s="41">
        <f t="shared" si="20"/>
        <v>2606.5</v>
      </c>
      <c r="L338" s="41">
        <f t="shared" si="20"/>
        <v>366203.7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223187.32</v>
      </c>
      <c r="G352" s="41">
        <f>G338</f>
        <v>65501.79</v>
      </c>
      <c r="H352" s="41">
        <f>H338</f>
        <v>46642.580000000009</v>
      </c>
      <c r="I352" s="41">
        <f>I338</f>
        <v>15115.539999999999</v>
      </c>
      <c r="J352" s="41">
        <f>J338</f>
        <v>13149.970000000001</v>
      </c>
      <c r="K352" s="47">
        <f>K338+K351</f>
        <v>2606.5</v>
      </c>
      <c r="L352" s="41">
        <f>L338+L351</f>
        <v>366203.7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111412.84</v>
      </c>
      <c r="I358" s="18"/>
      <c r="J358" s="18">
        <v>1179.82</v>
      </c>
      <c r="K358" s="18"/>
      <c r="L358" s="13">
        <f>SUM(F358:K358)</f>
        <v>112592.66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v>63482</v>
      </c>
      <c r="I360" s="18"/>
      <c r="J360" s="18">
        <v>723</v>
      </c>
      <c r="K360" s="18"/>
      <c r="L360" s="19">
        <f>SUM(F360:K360)</f>
        <v>64205</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174894.84</v>
      </c>
      <c r="I362" s="47">
        <f t="shared" si="22"/>
        <v>0</v>
      </c>
      <c r="J362" s="47">
        <f t="shared" si="22"/>
        <v>1902.82</v>
      </c>
      <c r="K362" s="47">
        <f t="shared" si="22"/>
        <v>0</v>
      </c>
      <c r="L362" s="47">
        <f t="shared" si="22"/>
        <v>176797.66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3712.97</v>
      </c>
      <c r="I396" s="18"/>
      <c r="J396" s="24" t="s">
        <v>288</v>
      </c>
      <c r="K396" s="24" t="s">
        <v>288</v>
      </c>
      <c r="L396" s="56">
        <f t="shared" si="26"/>
        <v>3712.97</v>
      </c>
      <c r="M396" s="8"/>
      <c r="N396" s="266"/>
    </row>
    <row r="397" spans="1:14" s="3" customFormat="1" ht="12.2" customHeight="1" x14ac:dyDescent="0.15">
      <c r="A397" s="79" t="s">
        <v>515</v>
      </c>
      <c r="B397" s="2" t="s">
        <v>381</v>
      </c>
      <c r="C397" s="6">
        <v>10</v>
      </c>
      <c r="D397" s="2" t="s">
        <v>432</v>
      </c>
      <c r="E397" s="6"/>
      <c r="F397" s="18"/>
      <c r="G397" s="18"/>
      <c r="H397" s="18">
        <v>3800.74</v>
      </c>
      <c r="I397" s="18"/>
      <c r="J397" s="24" t="s">
        <v>288</v>
      </c>
      <c r="K397" s="24" t="s">
        <v>288</v>
      </c>
      <c r="L397" s="56">
        <f t="shared" si="26"/>
        <v>3800.74</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7513.7099999999991</v>
      </c>
      <c r="I401" s="47">
        <f>SUM(I395:I400)</f>
        <v>0</v>
      </c>
      <c r="J401" s="45" t="s">
        <v>288</v>
      </c>
      <c r="K401" s="45" t="s">
        <v>288</v>
      </c>
      <c r="L401" s="47">
        <f>SUM(L395:L400)</f>
        <v>7513.7099999999991</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7513.7099999999991</v>
      </c>
      <c r="I408" s="47">
        <f>I393+I401+I407</f>
        <v>0</v>
      </c>
      <c r="J408" s="24" t="s">
        <v>288</v>
      </c>
      <c r="K408" s="24" t="s">
        <v>288</v>
      </c>
      <c r="L408" s="47">
        <f>L393+L401+L407</f>
        <v>7513.7099999999991</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340497.02</v>
      </c>
      <c r="H439" s="18"/>
      <c r="I439" s="56">
        <f t="shared" ref="I439:I445" si="33">SUM(F439:H439)</f>
        <v>340497.02</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340497.02</v>
      </c>
      <c r="H446" s="13">
        <f>SUM(H439:H445)</f>
        <v>0</v>
      </c>
      <c r="I446" s="13">
        <f>SUM(I439:I445)</f>
        <v>340497.02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v>340497.02</v>
      </c>
      <c r="H456" s="18"/>
      <c r="I456" s="56">
        <f t="shared" si="34"/>
        <v>340497.02</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340497.02</v>
      </c>
      <c r="H460" s="83">
        <f>SUM(H454:H459)</f>
        <v>0</v>
      </c>
      <c r="I460" s="83">
        <f>SUM(I454:I459)</f>
        <v>340497.02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340497.02</v>
      </c>
      <c r="H461" s="42">
        <f>H452+H460</f>
        <v>0</v>
      </c>
      <c r="I461" s="42">
        <f>I452+I460</f>
        <v>340497.02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397647.28</v>
      </c>
      <c r="G465" s="18"/>
      <c r="H465" s="18"/>
      <c r="I465" s="18"/>
      <c r="J465" s="18">
        <v>332983.31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5295558.43</v>
      </c>
      <c r="G468" s="18">
        <v>176797.66</v>
      </c>
      <c r="H468" s="18">
        <v>366203.7</v>
      </c>
      <c r="I468" s="18"/>
      <c r="J468" s="18">
        <v>7513.71</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5295558.43</v>
      </c>
      <c r="G470" s="53">
        <f>SUM(G468:G469)</f>
        <v>176797.66</v>
      </c>
      <c r="H470" s="53">
        <f>SUM(H468:H469)</f>
        <v>366203.7</v>
      </c>
      <c r="I470" s="53">
        <f>SUM(I468:I469)</f>
        <v>0</v>
      </c>
      <c r="J470" s="53">
        <f>SUM(J468:J469)</f>
        <v>7513.71</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5282274.92</v>
      </c>
      <c r="G472" s="18">
        <v>176797.66</v>
      </c>
      <c r="H472" s="18">
        <v>366203.7</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5282274.92</v>
      </c>
      <c r="G474" s="53">
        <f>SUM(G472:G473)</f>
        <v>176797.66</v>
      </c>
      <c r="H474" s="53">
        <f>SUM(H472:H473)</f>
        <v>366203.7</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410930.79000000004</v>
      </c>
      <c r="G476" s="53">
        <f>(G465+G470)- G474</f>
        <v>0</v>
      </c>
      <c r="H476" s="53">
        <f>(H465+H470)- H474</f>
        <v>0</v>
      </c>
      <c r="I476" s="53">
        <f>(I465+I470)- I474</f>
        <v>0</v>
      </c>
      <c r="J476" s="53">
        <f>(J465+J470)- J474</f>
        <v>340497.02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10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225501.31</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5.39</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45000</v>
      </c>
      <c r="G495" s="18"/>
      <c r="H495" s="18"/>
      <c r="I495" s="18"/>
      <c r="J495" s="18"/>
      <c r="K495" s="53">
        <f>SUM(F495:J495)</f>
        <v>45000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17021.25</v>
      </c>
      <c r="G497" s="18"/>
      <c r="H497" s="18"/>
      <c r="I497" s="18"/>
      <c r="J497" s="18"/>
      <c r="K497" s="53">
        <f t="shared" si="35"/>
        <v>17021.25</v>
      </c>
      <c r="L497" s="24" t="s">
        <v>288</v>
      </c>
      <c r="N497" s="265"/>
    </row>
    <row r="498" spans="1:14" s="52" customFormat="1" ht="12.2" customHeight="1" x14ac:dyDescent="0.2">
      <c r="A498" s="200" t="s">
        <v>622</v>
      </c>
      <c r="B498" s="201">
        <v>20</v>
      </c>
      <c r="C498" s="202">
        <v>9</v>
      </c>
      <c r="D498" s="203" t="s">
        <v>432</v>
      </c>
      <c r="E498" s="202"/>
      <c r="F498" s="204">
        <v>30000</v>
      </c>
      <c r="G498" s="204"/>
      <c r="H498" s="204"/>
      <c r="I498" s="204"/>
      <c r="J498" s="204"/>
      <c r="K498" s="205">
        <f t="shared" si="35"/>
        <v>30000</v>
      </c>
      <c r="L498" s="206" t="s">
        <v>288</v>
      </c>
      <c r="N498" s="265"/>
    </row>
    <row r="499" spans="1:14" s="52" customFormat="1" ht="12.2" customHeight="1" thickBot="1" x14ac:dyDescent="0.25">
      <c r="A499" s="22" t="s">
        <v>623</v>
      </c>
      <c r="B499" s="75">
        <v>20</v>
      </c>
      <c r="C499" s="115">
        <v>10</v>
      </c>
      <c r="D499" s="2" t="s">
        <v>432</v>
      </c>
      <c r="E499" s="115"/>
      <c r="F499" s="18">
        <v>1617</v>
      </c>
      <c r="G499" s="18"/>
      <c r="H499" s="18"/>
      <c r="I499" s="18"/>
      <c r="J499" s="18"/>
      <c r="K499" s="53">
        <f t="shared" si="35"/>
        <v>1617</v>
      </c>
      <c r="L499" s="24" t="s">
        <v>288</v>
      </c>
      <c r="N499" s="265"/>
    </row>
    <row r="500" spans="1:14" s="52" customFormat="1" ht="12.2" customHeight="1" thickTop="1" x14ac:dyDescent="0.2">
      <c r="A500" s="139" t="s">
        <v>624</v>
      </c>
      <c r="B500" s="44">
        <v>20</v>
      </c>
      <c r="C500" s="195">
        <v>11</v>
      </c>
      <c r="D500" s="39" t="s">
        <v>432</v>
      </c>
      <c r="E500" s="195"/>
      <c r="F500" s="42">
        <f>SUM(F498:F499)</f>
        <v>31617</v>
      </c>
      <c r="G500" s="42">
        <f>SUM(G498:G499)</f>
        <v>0</v>
      </c>
      <c r="H500" s="42">
        <f>SUM(H498:H499)</f>
        <v>0</v>
      </c>
      <c r="I500" s="42">
        <f>SUM(I498:I499)</f>
        <v>0</v>
      </c>
      <c r="J500" s="42">
        <f>SUM(J498:J499)</f>
        <v>0</v>
      </c>
      <c r="K500" s="42">
        <f t="shared" si="35"/>
        <v>31617</v>
      </c>
      <c r="L500" s="45" t="s">
        <v>288</v>
      </c>
      <c r="N500" s="265"/>
    </row>
    <row r="501" spans="1:14" s="52" customFormat="1" ht="12.2" customHeight="1" x14ac:dyDescent="0.2">
      <c r="A501" s="200" t="s">
        <v>651</v>
      </c>
      <c r="B501" s="201">
        <v>20</v>
      </c>
      <c r="C501" s="202">
        <v>12</v>
      </c>
      <c r="D501" s="203" t="s">
        <v>432</v>
      </c>
      <c r="E501" s="202"/>
      <c r="F501" s="204">
        <v>15000</v>
      </c>
      <c r="G501" s="204"/>
      <c r="H501" s="204"/>
      <c r="I501" s="204"/>
      <c r="J501" s="204"/>
      <c r="K501" s="205">
        <f t="shared" si="35"/>
        <v>15000</v>
      </c>
      <c r="L501" s="206" t="s">
        <v>288</v>
      </c>
      <c r="N501" s="265"/>
    </row>
    <row r="502" spans="1:14" s="52" customFormat="1" ht="12.2" customHeight="1" thickBot="1" x14ac:dyDescent="0.25">
      <c r="A502" s="22" t="s">
        <v>625</v>
      </c>
      <c r="B502" s="75">
        <v>20</v>
      </c>
      <c r="C502" s="115">
        <v>13</v>
      </c>
      <c r="D502" s="2" t="s">
        <v>432</v>
      </c>
      <c r="E502" s="115"/>
      <c r="F502" s="18">
        <v>1212.75</v>
      </c>
      <c r="G502" s="18"/>
      <c r="H502" s="18"/>
      <c r="I502" s="18"/>
      <c r="J502" s="18"/>
      <c r="K502" s="53">
        <f t="shared" si="35"/>
        <v>1212.75</v>
      </c>
      <c r="L502" s="24" t="s">
        <v>288</v>
      </c>
      <c r="N502" s="265"/>
    </row>
    <row r="503" spans="1:14" s="52" customFormat="1" ht="12.2" customHeight="1" thickTop="1" x14ac:dyDescent="0.2">
      <c r="A503" s="139" t="s">
        <v>626</v>
      </c>
      <c r="B503" s="44">
        <v>20</v>
      </c>
      <c r="C503" s="195">
        <v>14</v>
      </c>
      <c r="D503" s="39" t="s">
        <v>432</v>
      </c>
      <c r="E503" s="195"/>
      <c r="F503" s="42">
        <f>SUM(F501:F502)</f>
        <v>16212.75</v>
      </c>
      <c r="G503" s="42">
        <f>SUM(G501:G502)</f>
        <v>0</v>
      </c>
      <c r="H503" s="42">
        <f>SUM(H501:H502)</f>
        <v>0</v>
      </c>
      <c r="I503" s="42">
        <f>SUM(I501:I502)</f>
        <v>0</v>
      </c>
      <c r="J503" s="42">
        <f>SUM(J501:J502)</f>
        <v>0</v>
      </c>
      <c r="K503" s="42">
        <f t="shared" si="35"/>
        <v>16212.75</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f>137091.69+51151+163509.42+36758.51+6240+4896.44+7949.16+1898.64</f>
        <v>409494.86</v>
      </c>
      <c r="G521" s="18">
        <f>23066.62+12146.82+888.43+328.41+24515.13+6805.25+25154.38+8879.78+517+996+2091.76+60.95+1145.36+562.56</f>
        <v>107158.45</v>
      </c>
      <c r="H521" s="18">
        <f>37668.54+6418.58+2432.55+47006.51+21384.48</f>
        <v>114910.66</v>
      </c>
      <c r="I521" s="18">
        <f>843.76+180.49+584.49+346.4</f>
        <v>1955.1399999999999</v>
      </c>
      <c r="J521" s="18">
        <f>825.99</f>
        <v>825.99</v>
      </c>
      <c r="K521" s="18"/>
      <c r="L521" s="88">
        <f>SUM(F521:K521)</f>
        <v>634345.1</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f>46529.95+19787.33+3017.96</f>
        <v>69335.240000000005</v>
      </c>
      <c r="G523" s="18">
        <f>13602.56+295.52+5272.2+8077.61+278+241.75+244.68</f>
        <v>28012.32</v>
      </c>
      <c r="H523" s="18">
        <f>14000+97532.3</f>
        <v>111532.3</v>
      </c>
      <c r="I523" s="18">
        <f>195.6+926.93</f>
        <v>1122.53</v>
      </c>
      <c r="J523" s="18"/>
      <c r="K523" s="18"/>
      <c r="L523" s="88">
        <f>SUM(F523:K523)</f>
        <v>210002.38999999998</v>
      </c>
      <c r="N523" s="265"/>
    </row>
    <row r="524" spans="1:14" s="52" customFormat="1" ht="12.2" customHeight="1" thickTop="1" x14ac:dyDescent="0.2">
      <c r="A524" s="139" t="s">
        <v>63</v>
      </c>
      <c r="B524" s="107">
        <v>21</v>
      </c>
      <c r="C524" s="195">
        <v>4</v>
      </c>
      <c r="D524" s="196" t="s">
        <v>432</v>
      </c>
      <c r="E524" s="195"/>
      <c r="F524" s="108">
        <f>SUM(F521:F523)</f>
        <v>478830.1</v>
      </c>
      <c r="G524" s="108">
        <f t="shared" ref="G524:L524" si="36">SUM(G521:G523)</f>
        <v>135170.76999999999</v>
      </c>
      <c r="H524" s="108">
        <f t="shared" si="36"/>
        <v>226442.96000000002</v>
      </c>
      <c r="I524" s="108">
        <f t="shared" si="36"/>
        <v>3077.67</v>
      </c>
      <c r="J524" s="108">
        <f t="shared" si="36"/>
        <v>825.99</v>
      </c>
      <c r="K524" s="108">
        <f t="shared" si="36"/>
        <v>0</v>
      </c>
      <c r="L524" s="89">
        <f t="shared" si="36"/>
        <v>844347.49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f>-488.38+690.74-41.78+59.06+29696.07+8114.45+2520.05+17684+705.56+24256.31+6006.73</f>
        <v>89202.81</v>
      </c>
      <c r="G526" s="18">
        <f>10.29+5.83-3.96+64.99-84.79+119.9-28.91-6.61+69.98+15.78+166.68+49.05+3911.72+716.9+4846.3+1408.68-102.47-28.69-58.94-15.5+2998.29+729.7+152.43+37.86+1855.94+459.56+4210.39+1042.71+1145.17+156.17-80.04-20.81-9.94-2.89</f>
        <v>23730.769999999997</v>
      </c>
      <c r="H526" s="18">
        <f>165.28+97.47+359.22+389.96</f>
        <v>1011.9300000000001</v>
      </c>
      <c r="I526" s="18">
        <f>590.7+285.1+625.2+174.55+226.62+79.96</f>
        <v>1982.13</v>
      </c>
      <c r="J526" s="18"/>
      <c r="K526" s="18"/>
      <c r="L526" s="88">
        <f>SUM(F526:K526)</f>
        <v>115927.63999999998</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f>67.47+5.8+1545.52+134.38+1007.23</f>
        <v>2760.4</v>
      </c>
      <c r="G528" s="18">
        <f>2.5+20.34+11.73-11.83+29.22+9.37+136.85+268.35-5.47-2.22+125.13+6.37+77.09+174.84-3.19-0.66</f>
        <v>838.42000000000007</v>
      </c>
      <c r="H528" s="18">
        <f>161.05</f>
        <v>161.05000000000001</v>
      </c>
      <c r="I528" s="18">
        <f>499.5+15.6</f>
        <v>515.1</v>
      </c>
      <c r="J528" s="18"/>
      <c r="K528" s="18"/>
      <c r="L528" s="88">
        <f>SUM(F528:K528)</f>
        <v>4274.97</v>
      </c>
      <c r="M528" s="8"/>
      <c r="N528" s="266"/>
    </row>
    <row r="529" spans="1:14" s="3" customFormat="1" ht="12.2" customHeight="1" thickTop="1" x14ac:dyDescent="0.15">
      <c r="A529" s="139" t="s">
        <v>65</v>
      </c>
      <c r="B529" s="107">
        <v>21</v>
      </c>
      <c r="C529" s="107">
        <v>8</v>
      </c>
      <c r="D529" s="158" t="s">
        <v>432</v>
      </c>
      <c r="E529" s="107"/>
      <c r="F529" s="89">
        <f>SUM(F526:F528)</f>
        <v>91963.209999999992</v>
      </c>
      <c r="G529" s="89">
        <f t="shared" ref="G529:L529" si="37">SUM(G526:G528)</f>
        <v>24569.189999999995</v>
      </c>
      <c r="H529" s="89">
        <f t="shared" si="37"/>
        <v>1172.98</v>
      </c>
      <c r="I529" s="89">
        <f t="shared" si="37"/>
        <v>2497.23</v>
      </c>
      <c r="J529" s="89">
        <f t="shared" si="37"/>
        <v>0</v>
      </c>
      <c r="K529" s="89">
        <f t="shared" si="37"/>
        <v>0</v>
      </c>
      <c r="L529" s="89">
        <f t="shared" si="37"/>
        <v>120202.60999999999</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f>17633.98+10399.57+8500.22+5065.75</f>
        <v>41599.519999999997</v>
      </c>
      <c r="G531" s="18">
        <f>7170.86+4260.44+194.94+112.76+1951.21+1154.66+967.36+576.53+3061.25+1805.4+1559.99+920-35.88-21.16+65.14+49.69</f>
        <v>23793.19</v>
      </c>
      <c r="H531" s="18">
        <f>193.19+96.6+300+484.5+1329.29+549.95</f>
        <v>2953.5299999999997</v>
      </c>
      <c r="I531" s="18">
        <f>447.32+307.43+450.55+181.7</f>
        <v>1387</v>
      </c>
      <c r="J531" s="18">
        <f>419</f>
        <v>419</v>
      </c>
      <c r="K531" s="18">
        <f>3521.62+2212.35</f>
        <v>5733.9699999999993</v>
      </c>
      <c r="L531" s="88">
        <f>SUM(F531:K531)</f>
        <v>75886.209999999992</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f>17181.93+8404.91</f>
        <v>25586.84</v>
      </c>
      <c r="G533" s="18">
        <f>7061.95+186.69+1910.45+956.39+2982.77+1520-34.96+94.09</f>
        <v>14677.380000000001</v>
      </c>
      <c r="H533" s="18">
        <f>193.17+300+908.6</f>
        <v>1401.77</v>
      </c>
      <c r="I533" s="18">
        <f>230.52+300.2</f>
        <v>530.72</v>
      </c>
      <c r="J533" s="18"/>
      <c r="K533" s="18">
        <f>3145.95</f>
        <v>3145.95</v>
      </c>
      <c r="L533" s="88">
        <f>SUM(F533:K533)</f>
        <v>45342.659999999996</v>
      </c>
      <c r="M533" s="8"/>
      <c r="N533" s="266"/>
    </row>
    <row r="534" spans="1:14" s="3" customFormat="1" ht="12.2" customHeight="1" thickTop="1" x14ac:dyDescent="0.15">
      <c r="A534" s="139" t="s">
        <v>67</v>
      </c>
      <c r="B534" s="107">
        <v>21</v>
      </c>
      <c r="C534" s="107">
        <v>12</v>
      </c>
      <c r="D534" s="158" t="s">
        <v>432</v>
      </c>
      <c r="E534" s="107"/>
      <c r="F534" s="89">
        <f>SUM(F531:F533)</f>
        <v>67186.36</v>
      </c>
      <c r="G534" s="89">
        <f t="shared" ref="G534:L534" si="38">SUM(G531:G533)</f>
        <v>38470.57</v>
      </c>
      <c r="H534" s="89">
        <f t="shared" si="38"/>
        <v>4355.2999999999993</v>
      </c>
      <c r="I534" s="89">
        <f t="shared" si="38"/>
        <v>1917.72</v>
      </c>
      <c r="J534" s="89">
        <f t="shared" si="38"/>
        <v>419</v>
      </c>
      <c r="K534" s="89">
        <f t="shared" si="38"/>
        <v>8879.9199999999983</v>
      </c>
      <c r="L534" s="89">
        <f t="shared" si="38"/>
        <v>121228.87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f>198.36+6474</f>
        <v>6672.36</v>
      </c>
      <c r="I541" s="18"/>
      <c r="J541" s="18"/>
      <c r="K541" s="18"/>
      <c r="L541" s="88">
        <f>SUM(F541:K541)</f>
        <v>6672.36</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f>11433.44</f>
        <v>11433.44</v>
      </c>
      <c r="I543" s="18"/>
      <c r="J543" s="18"/>
      <c r="K543" s="18"/>
      <c r="L543" s="88">
        <f>SUM(F543:K543)</f>
        <v>11433.44</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18105.8</v>
      </c>
      <c r="I544" s="193">
        <f t="shared" si="40"/>
        <v>0</v>
      </c>
      <c r="J544" s="193">
        <f t="shared" si="40"/>
        <v>0</v>
      </c>
      <c r="K544" s="193">
        <f t="shared" si="40"/>
        <v>0</v>
      </c>
      <c r="L544" s="193">
        <f t="shared" si="40"/>
        <v>18105.8</v>
      </c>
      <c r="M544" s="8"/>
      <c r="N544" s="266"/>
    </row>
    <row r="545" spans="1:14" s="3" customFormat="1" ht="12.2" customHeight="1" thickTop="1" x14ac:dyDescent="0.15">
      <c r="A545" s="98" t="s">
        <v>72</v>
      </c>
      <c r="B545" s="107">
        <v>21</v>
      </c>
      <c r="C545" s="107">
        <v>21</v>
      </c>
      <c r="D545" s="158" t="s">
        <v>432</v>
      </c>
      <c r="E545" s="107"/>
      <c r="F545" s="89">
        <f>F524+F529+F534+F539+F544</f>
        <v>637979.66999999993</v>
      </c>
      <c r="G545" s="89">
        <f t="shared" ref="G545:L545" si="41">G524+G529+G534+G539+G544</f>
        <v>198210.53</v>
      </c>
      <c r="H545" s="89">
        <f t="shared" si="41"/>
        <v>250077.04</v>
      </c>
      <c r="I545" s="89">
        <f t="shared" si="41"/>
        <v>7492.62</v>
      </c>
      <c r="J545" s="89">
        <f t="shared" si="41"/>
        <v>1244.99</v>
      </c>
      <c r="K545" s="89">
        <f t="shared" si="41"/>
        <v>8879.9199999999983</v>
      </c>
      <c r="L545" s="89">
        <f t="shared" si="41"/>
        <v>1103884.77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634345.1</v>
      </c>
      <c r="G549" s="87">
        <f>L526</f>
        <v>115927.63999999998</v>
      </c>
      <c r="H549" s="87">
        <f>L531</f>
        <v>75886.209999999992</v>
      </c>
      <c r="I549" s="87">
        <f>L536</f>
        <v>0</v>
      </c>
      <c r="J549" s="87">
        <f>L541</f>
        <v>6672.36</v>
      </c>
      <c r="K549" s="87">
        <f>SUM(F549:J549)</f>
        <v>832831.30999999994</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210002.38999999998</v>
      </c>
      <c r="G551" s="87">
        <f>L528</f>
        <v>4274.97</v>
      </c>
      <c r="H551" s="87">
        <f>L533</f>
        <v>45342.659999999996</v>
      </c>
      <c r="I551" s="87">
        <f>L538</f>
        <v>0</v>
      </c>
      <c r="J551" s="87">
        <f>L543</f>
        <v>11433.44</v>
      </c>
      <c r="K551" s="87">
        <f>SUM(F551:J551)</f>
        <v>271053.45999999996</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844347.49</v>
      </c>
      <c r="G552" s="89">
        <f t="shared" si="42"/>
        <v>120202.60999999999</v>
      </c>
      <c r="H552" s="89">
        <f t="shared" si="42"/>
        <v>121228.87</v>
      </c>
      <c r="I552" s="89">
        <f t="shared" si="42"/>
        <v>0</v>
      </c>
      <c r="J552" s="89">
        <f t="shared" si="42"/>
        <v>18105.8</v>
      </c>
      <c r="K552" s="89">
        <f t="shared" si="42"/>
        <v>1103884.77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2432.5500000000002</v>
      </c>
      <c r="G579" s="18"/>
      <c r="H579" s="18">
        <v>14000</v>
      </c>
      <c r="I579" s="87">
        <f t="shared" si="47"/>
        <v>16432.55</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f>47006.51+21384.48</f>
        <v>68390.990000000005</v>
      </c>
      <c r="G582" s="18"/>
      <c r="H582" s="18">
        <v>97532.3</v>
      </c>
      <c r="I582" s="87">
        <f t="shared" si="47"/>
        <v>165923.29</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15877.58</v>
      </c>
      <c r="I584" s="87">
        <f t="shared" si="47"/>
        <v>15877.58</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f>41343.73+21753.71</f>
        <v>63097.440000000002</v>
      </c>
      <c r="I591" s="18"/>
      <c r="J591" s="18">
        <f>69553.56-29673</f>
        <v>39880.559999999998</v>
      </c>
      <c r="K591" s="104">
        <f t="shared" ref="K591:K597" si="48">SUM(H591:J591)</f>
        <v>102978</v>
      </c>
      <c r="L591" s="24" t="s">
        <v>288</v>
      </c>
      <c r="M591" s="8"/>
      <c r="N591" s="266"/>
    </row>
    <row r="592" spans="1:14" s="3" customFormat="1" ht="12.2" customHeight="1" x14ac:dyDescent="0.15">
      <c r="A592" s="3" t="s">
        <v>638</v>
      </c>
      <c r="B592" s="75">
        <v>23</v>
      </c>
      <c r="C592" s="75">
        <v>2</v>
      </c>
      <c r="D592" s="2" t="s">
        <v>432</v>
      </c>
      <c r="E592" s="75"/>
      <c r="F592" s="102">
        <v>2722</v>
      </c>
      <c r="G592" s="103" t="s">
        <v>97</v>
      </c>
      <c r="H592" s="18">
        <f>198.36+6474</f>
        <v>6672.36</v>
      </c>
      <c r="I592" s="18"/>
      <c r="J592" s="18">
        <f>11433.44</f>
        <v>11433.44</v>
      </c>
      <c r="K592" s="104">
        <f t="shared" si="48"/>
        <v>18105.8</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c r="J593" s="18">
        <v>29673</v>
      </c>
      <c r="K593" s="104">
        <f t="shared" si="48"/>
        <v>29673</v>
      </c>
      <c r="L593" s="24" t="s">
        <v>288</v>
      </c>
      <c r="M593" s="8"/>
      <c r="N593" s="266"/>
    </row>
    <row r="594" spans="1:14" s="3" customFormat="1" ht="12.2" customHeight="1" x14ac:dyDescent="0.15">
      <c r="A594" s="22" t="s">
        <v>640</v>
      </c>
      <c r="B594" s="75">
        <v>23</v>
      </c>
      <c r="C594" s="75">
        <v>4</v>
      </c>
      <c r="D594" s="2" t="s">
        <v>432</v>
      </c>
      <c r="E594" s="75"/>
      <c r="F594" s="102">
        <v>2724</v>
      </c>
      <c r="G594" s="103" t="s">
        <v>97</v>
      </c>
      <c r="H594" s="18">
        <f>3180+3960</f>
        <v>7140</v>
      </c>
      <c r="I594" s="18"/>
      <c r="J594" s="18">
        <f>11616.25</f>
        <v>11616.25</v>
      </c>
      <c r="K594" s="104">
        <f t="shared" si="48"/>
        <v>18756.25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f>4471+1460</f>
        <v>5931</v>
      </c>
      <c r="I595" s="18"/>
      <c r="J595" s="18">
        <f>3639.67</f>
        <v>3639.67</v>
      </c>
      <c r="K595" s="104">
        <f t="shared" si="48"/>
        <v>9570.67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82840.800000000003</v>
      </c>
      <c r="I598" s="108">
        <f>SUM(I591:I597)</f>
        <v>0</v>
      </c>
      <c r="J598" s="108">
        <f>SUM(J591:J597)</f>
        <v>96242.92</v>
      </c>
      <c r="K598" s="108">
        <f>SUM(K591:K597)</f>
        <v>179083.72</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21521.94</v>
      </c>
      <c r="I604" s="18"/>
      <c r="J604" s="18">
        <v>8322.52</v>
      </c>
      <c r="K604" s="104">
        <f>SUM(H604:J604)</f>
        <v>29844.46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21521.94</v>
      </c>
      <c r="I605" s="108">
        <f>SUM(I602:I604)</f>
        <v>0</v>
      </c>
      <c r="J605" s="108">
        <f>SUM(J602:J604)</f>
        <v>8322.52</v>
      </c>
      <c r="K605" s="108">
        <f>SUM(K602:K604)</f>
        <v>29844.46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f>250</f>
        <v>250</v>
      </c>
      <c r="G611" s="18">
        <f>41.84+94.95</f>
        <v>136.79000000000002</v>
      </c>
      <c r="H611" s="18"/>
      <c r="I611" s="18">
        <f>235.06+2744.56+1914.49</f>
        <v>4894.1099999999997</v>
      </c>
      <c r="J611" s="18"/>
      <c r="K611" s="18"/>
      <c r="L611" s="88">
        <f>SUM(F611:K611)</f>
        <v>5280.9</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f>265</f>
        <v>265</v>
      </c>
      <c r="G613" s="18">
        <f>68.32+155.04</f>
        <v>223.35999999999999</v>
      </c>
      <c r="H613" s="18"/>
      <c r="I613" s="18"/>
      <c r="J613" s="18"/>
      <c r="K613" s="18"/>
      <c r="L613" s="88">
        <f>SUM(F613:K613)</f>
        <v>488.36</v>
      </c>
      <c r="M613" s="8"/>
      <c r="N613" s="266"/>
    </row>
    <row r="614" spans="1:14" s="3" customFormat="1" ht="12.2" customHeight="1" thickTop="1" x14ac:dyDescent="0.15">
      <c r="A614" s="98" t="s">
        <v>340</v>
      </c>
      <c r="B614" s="107">
        <v>23</v>
      </c>
      <c r="C614" s="107">
        <v>16</v>
      </c>
      <c r="D614" s="39" t="s">
        <v>432</v>
      </c>
      <c r="E614" s="107"/>
      <c r="F614" s="108">
        <f t="shared" ref="F614:L614" si="49">SUM(F611:F613)</f>
        <v>515</v>
      </c>
      <c r="G614" s="108">
        <f t="shared" si="49"/>
        <v>360.15</v>
      </c>
      <c r="H614" s="108">
        <f t="shared" si="49"/>
        <v>0</v>
      </c>
      <c r="I614" s="108">
        <f t="shared" si="49"/>
        <v>4894.1099999999997</v>
      </c>
      <c r="J614" s="108">
        <f t="shared" si="49"/>
        <v>0</v>
      </c>
      <c r="K614" s="108">
        <f t="shared" si="49"/>
        <v>0</v>
      </c>
      <c r="L614" s="89">
        <f t="shared" si="49"/>
        <v>5769.2599999999993</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424233.94</v>
      </c>
      <c r="H617" s="109">
        <f>SUM(F52)</f>
        <v>424233.94000000006</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5957.23</v>
      </c>
      <c r="H618" s="109">
        <f>SUM(G52)</f>
        <v>5957.23</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56306.18</v>
      </c>
      <c r="H619" s="109">
        <f>SUM(H52)</f>
        <v>56306.18</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340497.02</v>
      </c>
      <c r="H621" s="109">
        <f>SUM(J52)</f>
        <v>340497.02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410930.79000000004</v>
      </c>
      <c r="H622" s="109">
        <f>F476</f>
        <v>410930.79000000004</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340497.02</v>
      </c>
      <c r="H626" s="109">
        <f>J476</f>
        <v>340497.02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5295558.4300000006</v>
      </c>
      <c r="H627" s="104">
        <f>SUM(F468)</f>
        <v>5295558.43</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176797.66</v>
      </c>
      <c r="H628" s="104">
        <f>SUM(G468)</f>
        <v>176797.66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366203.7</v>
      </c>
      <c r="H629" s="104">
        <f>SUM(H468)</f>
        <v>366203.7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7513.71</v>
      </c>
      <c r="H631" s="104">
        <f>SUM(J468)</f>
        <v>7513.71</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5282274.92</v>
      </c>
      <c r="H632" s="104">
        <f>SUM(F472)</f>
        <v>5282274.92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366203.7</v>
      </c>
      <c r="H633" s="104">
        <f>SUM(H472)</f>
        <v>366203.7</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176797.66</v>
      </c>
      <c r="H635" s="104">
        <f>SUM(G472)</f>
        <v>176797.66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7513.7099999999991</v>
      </c>
      <c r="H637" s="164">
        <f>SUM(J468)</f>
        <v>7513.71</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340497.02</v>
      </c>
      <c r="H640" s="104">
        <f>SUM(G461)</f>
        <v>340497.02</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340497.02</v>
      </c>
      <c r="H642" s="104">
        <f>SUM(I461)</f>
        <v>340497.02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7513.71</v>
      </c>
      <c r="H644" s="104">
        <f>H408</f>
        <v>7513.7099999999991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7513.71</v>
      </c>
      <c r="H646" s="104">
        <f>L408</f>
        <v>7513.7099999999991</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179083.72</v>
      </c>
      <c r="H647" s="104">
        <f>L208+L226+L244</f>
        <v>179083.72</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29844.46</v>
      </c>
      <c r="H648" s="104">
        <f>(J257+J338)-(J255+J336)</f>
        <v>29844.46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82840.800000000003</v>
      </c>
      <c r="H649" s="104">
        <f>H598</f>
        <v>82840.800000000003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96242.92</v>
      </c>
      <c r="H651" s="104">
        <f>J598</f>
        <v>96242.92</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10419.719999999999</v>
      </c>
      <c r="H652" s="104">
        <f>K263+K345</f>
        <v>10419.719999999999</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3458964.64</v>
      </c>
      <c r="G660" s="19">
        <f>(L229+L309+L359)</f>
        <v>0</v>
      </c>
      <c r="H660" s="19">
        <f>(L247+L328+L360)</f>
        <v>2173261.2200000002</v>
      </c>
      <c r="I660" s="19">
        <f>SUM(F660:H660)</f>
        <v>5632225.8600000003</v>
      </c>
      <c r="J660" s="13"/>
      <c r="K660" s="13"/>
      <c r="L660" s="13"/>
      <c r="M660" s="9"/>
    </row>
    <row r="661" spans="1:13" s="3" customFormat="1" ht="12.2" customHeight="1" x14ac:dyDescent="0.2">
      <c r="A661" s="1" t="s">
        <v>127</v>
      </c>
      <c r="F661" s="19">
        <f>(L358/IF(SUM(L358:L360)=0,1,SUM(L358:L360))*(SUM(G97:G110)))</f>
        <v>26363.77379894847</v>
      </c>
      <c r="G661" s="19">
        <f>(L359/IF(SUM(L358:L360)=0,1,SUM(L358:L360))*(SUM(G97:G110)))</f>
        <v>0</v>
      </c>
      <c r="H661" s="19">
        <f>(L360/IF(SUM(L358:L360)=0,1,SUM(L358:L360))*(SUM(G97:G110)))</f>
        <v>15033.716201051529</v>
      </c>
      <c r="I661" s="19">
        <f>SUM(F661:H661)</f>
        <v>41397.49</v>
      </c>
      <c r="J661"/>
      <c r="K661" s="13"/>
      <c r="L661" s="13"/>
      <c r="M661" s="9"/>
    </row>
    <row r="662" spans="1:13" s="3" customFormat="1" ht="12.2" customHeight="1" x14ac:dyDescent="0.2">
      <c r="A662" s="1" t="s">
        <v>128</v>
      </c>
      <c r="F662" s="19">
        <f>(L208+L287)-(J208+J287)</f>
        <v>82840.800000000003</v>
      </c>
      <c r="G662" s="19">
        <f>(L226+L306)-(J226+J306)</f>
        <v>0</v>
      </c>
      <c r="H662" s="19">
        <f>(L244+L325)-(J244+J325)</f>
        <v>96242.92</v>
      </c>
      <c r="I662" s="19">
        <f>SUM(F662:H662)</f>
        <v>179083.72</v>
      </c>
      <c r="J662"/>
      <c r="K662" s="13"/>
      <c r="L662" s="13"/>
      <c r="M662" s="8"/>
    </row>
    <row r="663" spans="1:13" s="3" customFormat="1" ht="12.2" customHeight="1" x14ac:dyDescent="0.15">
      <c r="A663" s="198" t="s">
        <v>129</v>
      </c>
      <c r="B663" s="169"/>
      <c r="C663" s="169"/>
      <c r="D663" s="169"/>
      <c r="E663" s="169"/>
      <c r="F663" s="199">
        <f>SUM(F575:F587)+SUM(H602:H604)+SUM(L611)</f>
        <v>97626.38</v>
      </c>
      <c r="G663" s="199">
        <f>SUM(G575:G587)+SUM(I602:I604)+L612</f>
        <v>0</v>
      </c>
      <c r="H663" s="199">
        <f>SUM(H575:H587)+SUM(J602:J604)+L613</f>
        <v>136220.75999999998</v>
      </c>
      <c r="I663" s="19">
        <f>SUM(F663:H663)</f>
        <v>233847.13999999998</v>
      </c>
      <c r="J663" s="13"/>
      <c r="K663" s="13"/>
      <c r="L663" s="13"/>
      <c r="M663" s="9"/>
    </row>
    <row r="664" spans="1:13" s="3" customFormat="1" ht="12.2" customHeight="1" x14ac:dyDescent="0.15">
      <c r="A664" s="1" t="s">
        <v>130</v>
      </c>
      <c r="F664" s="19">
        <f>F660-SUM(F661:F663)</f>
        <v>3252133.6862010518</v>
      </c>
      <c r="G664" s="19">
        <f>G660-SUM(G661:G663)</f>
        <v>0</v>
      </c>
      <c r="H664" s="19">
        <f>H660-SUM(H661:H663)</f>
        <v>1925763.8237989487</v>
      </c>
      <c r="I664" s="19">
        <f>I660-SUM(I661:I663)</f>
        <v>5177897.5100000007</v>
      </c>
      <c r="J664" s="13"/>
      <c r="K664" s="13"/>
      <c r="L664" s="13"/>
      <c r="M664" s="9"/>
    </row>
    <row r="665" spans="1:13" s="3" customFormat="1" ht="12.2" customHeight="1" x14ac:dyDescent="0.2">
      <c r="A665" s="1" t="s">
        <v>131</v>
      </c>
      <c r="F665" s="246">
        <v>197.96</v>
      </c>
      <c r="G665" s="247"/>
      <c r="H665" s="247">
        <v>121.65</v>
      </c>
      <c r="I665" s="19">
        <f>SUM(F665:H665)</f>
        <v>319.61</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16428.240000000002</v>
      </c>
      <c r="G667" s="19" t="e">
        <f>ROUND(G664/G665,2)</f>
        <v>#DIV/0!</v>
      </c>
      <c r="H667" s="19">
        <f>ROUND(H664/H665,2)</f>
        <v>15830.36</v>
      </c>
      <c r="I667" s="19">
        <f>ROUND(I664/I665,2)</f>
        <v>16200.67</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-3.05</v>
      </c>
      <c r="I670" s="19">
        <f>SUM(F670:H670)</f>
        <v>-3.05</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16428.240000000002</v>
      </c>
      <c r="G672" s="19" t="e">
        <f>ROUND((G664+G669)/(G665+G670),2)</f>
        <v>#DIV/0!</v>
      </c>
      <c r="H672" s="19">
        <f>ROUND((H664+H669)/(H665+H670),2)</f>
        <v>16237.47</v>
      </c>
      <c r="I672" s="19">
        <f>ROUND((I664+I669)/(I665+I670),2)</f>
        <v>16356.76</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NORTHUMBERLAND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1477826.79</v>
      </c>
      <c r="C9" s="229">
        <f>'DOE25'!G197+'DOE25'!G215+'DOE25'!G233+'DOE25'!G276+'DOE25'!G295+'DOE25'!G314</f>
        <v>577781.68999999994</v>
      </c>
    </row>
    <row r="10" spans="1:3" x14ac:dyDescent="0.2">
      <c r="A10" t="s">
        <v>775</v>
      </c>
      <c r="B10" s="240">
        <v>1434834.4</v>
      </c>
      <c r="C10" s="240">
        <v>574492.77</v>
      </c>
    </row>
    <row r="11" spans="1:3" x14ac:dyDescent="0.2">
      <c r="A11" t="s">
        <v>776</v>
      </c>
      <c r="B11" s="240">
        <v>42992.39</v>
      </c>
      <c r="C11" s="240">
        <v>3288.92</v>
      </c>
    </row>
    <row r="12" spans="1:3" x14ac:dyDescent="0.2">
      <c r="A12" t="s">
        <v>777</v>
      </c>
      <c r="B12" s="240"/>
      <c r="C12" s="240"/>
    </row>
    <row r="13" spans="1:3" x14ac:dyDescent="0.2">
      <c r="A13" t="str">
        <f>IF(B9=B13,IF(C9=C13,"Check Total OK","Check Total Error"),"Check Total Error")</f>
        <v>Check Total OK</v>
      </c>
      <c r="B13" s="231">
        <f>SUM(B10:B12)</f>
        <v>1477826.7899999998</v>
      </c>
      <c r="C13" s="231">
        <f>SUM(C10:C12)</f>
        <v>577781.69000000006</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478830.1</v>
      </c>
      <c r="C18" s="229">
        <f>'DOE25'!G198+'DOE25'!G216+'DOE25'!G234+'DOE25'!G277+'DOE25'!G296+'DOE25'!G315</f>
        <v>135170.76999999999</v>
      </c>
    </row>
    <row r="19" spans="1:3" x14ac:dyDescent="0.2">
      <c r="A19" t="s">
        <v>775</v>
      </c>
      <c r="B19" s="240">
        <v>234772.64</v>
      </c>
      <c r="C19" s="240">
        <v>116500.38</v>
      </c>
    </row>
    <row r="20" spans="1:3" x14ac:dyDescent="0.2">
      <c r="A20" t="s">
        <v>776</v>
      </c>
      <c r="B20" s="240">
        <v>244057.46</v>
      </c>
      <c r="C20" s="240">
        <v>18670.39</v>
      </c>
    </row>
    <row r="21" spans="1:3" x14ac:dyDescent="0.2">
      <c r="A21" t="s">
        <v>777</v>
      </c>
      <c r="B21" s="240"/>
      <c r="C21" s="240"/>
    </row>
    <row r="22" spans="1:3" x14ac:dyDescent="0.2">
      <c r="A22" t="str">
        <f>IF(B18=B22,IF(C18=C22,"Check Total OK","Check Total Error"),"Check Total Error")</f>
        <v>Check Total OK</v>
      </c>
      <c r="B22" s="231">
        <f>SUM(B19:B21)</f>
        <v>478830.1</v>
      </c>
      <c r="C22" s="231">
        <f>SUM(C19:C21)</f>
        <v>135170.77000000002</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80051</v>
      </c>
      <c r="C36" s="235">
        <f>'DOE25'!G200+'DOE25'!G218+'DOE25'!G236+'DOE25'!G279+'DOE25'!G298+'DOE25'!G317</f>
        <v>14007.049999999997</v>
      </c>
    </row>
    <row r="37" spans="1:3" x14ac:dyDescent="0.2">
      <c r="A37" t="s">
        <v>775</v>
      </c>
      <c r="B37" s="240">
        <v>50071</v>
      </c>
      <c r="C37" s="240">
        <v>11713.58</v>
      </c>
    </row>
    <row r="38" spans="1:3" x14ac:dyDescent="0.2">
      <c r="A38" t="s">
        <v>776</v>
      </c>
      <c r="B38" s="240">
        <v>1500</v>
      </c>
      <c r="C38" s="240">
        <v>114.75</v>
      </c>
    </row>
    <row r="39" spans="1:3" x14ac:dyDescent="0.2">
      <c r="A39" t="s">
        <v>777</v>
      </c>
      <c r="B39" s="240">
        <v>28480</v>
      </c>
      <c r="C39" s="240">
        <v>2178.7199999999998</v>
      </c>
    </row>
    <row r="40" spans="1:3" x14ac:dyDescent="0.2">
      <c r="A40" t="str">
        <f>IF(B36=B40,IF(C36=C40,"Check Total OK","Check Total Error"),"Check Total Error")</f>
        <v>Check Total OK</v>
      </c>
      <c r="B40" s="231">
        <f>SUM(B37:B39)</f>
        <v>80051</v>
      </c>
      <c r="C40" s="231">
        <f>SUM(C37:C39)</f>
        <v>14007.05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2" sqref="F32"/>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NORTHUMBERLAND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3035978.79</v>
      </c>
      <c r="D5" s="20">
        <f>SUM('DOE25'!L197:L200)+SUM('DOE25'!L215:L218)+SUM('DOE25'!L233:L236)-F5-G5-H5</f>
        <v>3024737.06</v>
      </c>
      <c r="E5" s="243"/>
      <c r="F5" s="244">
        <v>0</v>
      </c>
      <c r="G5" s="53">
        <f>SUM('DOE25'!J197:J200)+SUM('DOE25'!J215:J218)+SUM('DOE25'!J233:J236)</f>
        <v>5756.7800000000007</v>
      </c>
      <c r="H5" s="53">
        <f>SUM('DOE25'!K197:K200)+SUM('DOE25'!K215:K218)+SUM('DOE25'!K233:K236)</f>
        <v>5484.95</v>
      </c>
      <c r="I5" s="256"/>
    </row>
    <row r="6" spans="1:9" x14ac:dyDescent="0.2">
      <c r="A6" s="32">
        <v>2100</v>
      </c>
      <c r="B6" t="s">
        <v>796</v>
      </c>
      <c r="C6" s="276">
        <f t="shared" si="0"/>
        <v>423024.1</v>
      </c>
      <c r="D6" s="20">
        <f>'DOE25'!L202+'DOE25'!L220+'DOE25'!L238-F6-G6-H6</f>
        <v>421562.05</v>
      </c>
      <c r="E6" s="243"/>
      <c r="F6" s="244">
        <v>0</v>
      </c>
      <c r="G6" s="53">
        <f>'DOE25'!J202+'DOE25'!J220+'DOE25'!J238</f>
        <v>532.95000000000005</v>
      </c>
      <c r="H6" s="53">
        <f>'DOE25'!K202+'DOE25'!K220+'DOE25'!K238</f>
        <v>929.1</v>
      </c>
      <c r="I6" s="256"/>
    </row>
    <row r="7" spans="1:9" x14ac:dyDescent="0.2">
      <c r="A7" s="32">
        <v>2200</v>
      </c>
      <c r="B7" t="s">
        <v>821</v>
      </c>
      <c r="C7" s="276">
        <f t="shared" si="0"/>
        <v>94216.44</v>
      </c>
      <c r="D7" s="20">
        <f>'DOE25'!L203+'DOE25'!L221+'DOE25'!L239-F7-G7-H7</f>
        <v>94216.44</v>
      </c>
      <c r="E7" s="243"/>
      <c r="F7" s="244">
        <v>0</v>
      </c>
      <c r="G7" s="53">
        <f>'DOE25'!J203+'DOE25'!J221+'DOE25'!J239</f>
        <v>0</v>
      </c>
      <c r="H7" s="53">
        <f>'DOE25'!K203+'DOE25'!K221+'DOE25'!K239</f>
        <v>0</v>
      </c>
      <c r="I7" s="256"/>
    </row>
    <row r="8" spans="1:9" x14ac:dyDescent="0.2">
      <c r="A8" s="32">
        <v>2300</v>
      </c>
      <c r="B8" t="s">
        <v>797</v>
      </c>
      <c r="C8" s="276">
        <f t="shared" si="0"/>
        <v>242689.19</v>
      </c>
      <c r="D8" s="243"/>
      <c r="E8" s="20">
        <f>'DOE25'!L204+'DOE25'!L222+'DOE25'!L240-F8-G8-H8-D9-D11</f>
        <v>237806.44</v>
      </c>
      <c r="F8" s="244">
        <v>0</v>
      </c>
      <c r="G8" s="53">
        <f>'DOE25'!J204+'DOE25'!J222+'DOE25'!J240</f>
        <v>0</v>
      </c>
      <c r="H8" s="53">
        <f>'DOE25'!K204+'DOE25'!K222+'DOE25'!K240</f>
        <v>4882.75</v>
      </c>
      <c r="I8" s="256"/>
    </row>
    <row r="9" spans="1:9" ht="14.25" x14ac:dyDescent="0.2">
      <c r="A9" s="32">
        <v>2310</v>
      </c>
      <c r="B9" s="185" t="s">
        <v>890</v>
      </c>
      <c r="C9" s="276">
        <f t="shared" si="0"/>
        <v>36203.74</v>
      </c>
      <c r="D9" s="244">
        <v>36203.74</v>
      </c>
      <c r="E9" s="243"/>
      <c r="F9" s="253"/>
      <c r="G9" s="253"/>
      <c r="H9" s="253"/>
      <c r="I9" s="256"/>
    </row>
    <row r="10" spans="1:9" ht="14.25" x14ac:dyDescent="0.2">
      <c r="A10" s="32">
        <v>2317</v>
      </c>
      <c r="B10" s="185" t="s">
        <v>891</v>
      </c>
      <c r="C10" s="276">
        <f t="shared" si="0"/>
        <v>10280</v>
      </c>
      <c r="D10" s="243"/>
      <c r="E10" s="244">
        <v>10280</v>
      </c>
      <c r="F10" s="253"/>
      <c r="G10" s="253"/>
      <c r="H10" s="253"/>
      <c r="I10" s="256"/>
    </row>
    <row r="11" spans="1:9" ht="14.25" x14ac:dyDescent="0.2">
      <c r="A11" s="32">
        <v>2321</v>
      </c>
      <c r="B11" s="185" t="s">
        <v>892</v>
      </c>
      <c r="C11" s="276">
        <f t="shared" si="0"/>
        <v>116934</v>
      </c>
      <c r="D11" s="244">
        <v>116934</v>
      </c>
      <c r="E11" s="243"/>
      <c r="F11" s="253"/>
      <c r="G11" s="253"/>
      <c r="H11" s="253"/>
      <c r="I11" s="256"/>
    </row>
    <row r="12" spans="1:9" x14ac:dyDescent="0.2">
      <c r="A12" s="32">
        <v>2400</v>
      </c>
      <c r="B12" t="s">
        <v>711</v>
      </c>
      <c r="C12" s="276">
        <f t="shared" si="0"/>
        <v>546583.92000000004</v>
      </c>
      <c r="D12" s="20">
        <f>'DOE25'!L205+'DOE25'!L223+'DOE25'!L241-F12-G12-H12</f>
        <v>531557.99</v>
      </c>
      <c r="E12" s="243"/>
      <c r="F12" s="244">
        <v>0</v>
      </c>
      <c r="G12" s="53">
        <f>'DOE25'!J205+'DOE25'!J223+'DOE25'!J241</f>
        <v>4426.01</v>
      </c>
      <c r="H12" s="53">
        <f>'DOE25'!K205+'DOE25'!K223+'DOE25'!K241</f>
        <v>10599.919999999998</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461248.42000000004</v>
      </c>
      <c r="D14" s="20">
        <f>'DOE25'!L207+'DOE25'!L225+'DOE25'!L243-F14-G14-H14</f>
        <v>455269.67000000004</v>
      </c>
      <c r="E14" s="243"/>
      <c r="F14" s="244">
        <v>0</v>
      </c>
      <c r="G14" s="53">
        <f>'DOE25'!J207+'DOE25'!J225+'DOE25'!J243</f>
        <v>5978.75</v>
      </c>
      <c r="H14" s="53">
        <f>'DOE25'!K207+'DOE25'!K225+'DOE25'!K243</f>
        <v>0</v>
      </c>
      <c r="I14" s="256"/>
    </row>
    <row r="15" spans="1:9" x14ac:dyDescent="0.2">
      <c r="A15" s="32">
        <v>2700</v>
      </c>
      <c r="B15" t="s">
        <v>799</v>
      </c>
      <c r="C15" s="276">
        <f t="shared" si="0"/>
        <v>179083.72</v>
      </c>
      <c r="D15" s="20">
        <f>'DOE25'!L208+'DOE25'!L226+'DOE25'!L244-F15-G15-H15</f>
        <v>72152.72</v>
      </c>
      <c r="E15" s="243"/>
      <c r="F15" s="244">
        <f>131931-25000</f>
        <v>106931</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128321.54000000001</v>
      </c>
      <c r="D22" s="243"/>
      <c r="E22" s="243"/>
      <c r="F22" s="243"/>
      <c r="G22" s="53">
        <f>'DOE25'!L255+'DOE25'!L336</f>
        <v>128321.54000000001</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17021.25</v>
      </c>
      <c r="D25" s="243"/>
      <c r="E25" s="243"/>
      <c r="F25" s="255"/>
      <c r="G25" s="253"/>
      <c r="H25" s="253"/>
      <c r="I25" s="254">
        <f>'DOE25'!L260+'DOE25'!L261+'DOE25'!L341+'DOE25'!L342</f>
        <v>17021.25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176797.66</v>
      </c>
      <c r="D29" s="284">
        <f>'DOE25'!L358+'DOE25'!L359+'DOE25'!L360-'DOE25'!I367-F29-G29-H29</f>
        <v>93967.14</v>
      </c>
      <c r="E29" s="243"/>
      <c r="F29" s="244">
        <f>105927.7-25000</f>
        <v>80927.7</v>
      </c>
      <c r="G29" s="53">
        <f>'DOE25'!J358+'DOE25'!J359+'DOE25'!J360</f>
        <v>1902.82</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332117.78999999992</v>
      </c>
      <c r="D31" s="20">
        <f>'DOE25'!L290+'DOE25'!L309+'DOE25'!L328+'DOE25'!L333+'DOE25'!L334+'DOE25'!L335-F31-G31-H31</f>
        <v>316361.31999999995</v>
      </c>
      <c r="E31" s="243"/>
      <c r="F31" s="244">
        <v>0</v>
      </c>
      <c r="G31" s="53">
        <f>'DOE25'!J290+'DOE25'!J309+'DOE25'!J328+'DOE25'!J333+'DOE25'!J334+'DOE25'!J335</f>
        <v>13149.970000000001</v>
      </c>
      <c r="H31" s="53">
        <f>'DOE25'!K290+'DOE25'!K309+'DOE25'!K328+'DOE25'!K333+'DOE25'!K334+'DOE25'!K335</f>
        <v>2606.5</v>
      </c>
      <c r="I31" s="256"/>
    </row>
    <row r="32" spans="1:9" ht="12" thickBot="1" x14ac:dyDescent="0.25">
      <c r="C32" s="277"/>
      <c r="G32" s="251"/>
      <c r="H32" s="251"/>
      <c r="I32" s="258"/>
    </row>
    <row r="33" spans="1:9" ht="12" thickTop="1" x14ac:dyDescent="0.2">
      <c r="B33" t="s">
        <v>809</v>
      </c>
      <c r="D33" s="245">
        <f t="shared" ref="D33:I33" si="1">SUM(D5:D31)</f>
        <v>5162962.13</v>
      </c>
      <c r="E33" s="245">
        <f t="shared" si="1"/>
        <v>248086.44</v>
      </c>
      <c r="F33" s="245">
        <f t="shared" si="1"/>
        <v>187858.7</v>
      </c>
      <c r="G33" s="245">
        <f t="shared" si="1"/>
        <v>160068.82</v>
      </c>
      <c r="H33" s="245">
        <f t="shared" si="1"/>
        <v>24503.219999999998</v>
      </c>
      <c r="I33" s="245">
        <f t="shared" si="1"/>
        <v>17021.25</v>
      </c>
    </row>
    <row r="35" spans="1:9" ht="12" thickBot="1" x14ac:dyDescent="0.25">
      <c r="B35" s="251" t="s">
        <v>831</v>
      </c>
      <c r="D35" s="252">
        <f>E33</f>
        <v>248086.44</v>
      </c>
      <c r="E35" s="248"/>
    </row>
    <row r="36" spans="1:9" ht="12" thickTop="1" x14ac:dyDescent="0.2">
      <c r="B36" t="s">
        <v>810</v>
      </c>
      <c r="D36" s="20">
        <f>D33</f>
        <v>5162962.13</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G39" sqref="G39"/>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NORTHUMBERLAND SCHOOL DISTRICT</v>
      </c>
      <c r="B2" s="126">
        <f>'DOE25'!B2</f>
        <v>407</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3346371.98</v>
      </c>
      <c r="G4" s="303">
        <f>'DOE25'!L211+'DOE25'!L290</f>
        <v>3346371.98</v>
      </c>
      <c r="H4" s="304">
        <f>F4-G4</f>
        <v>0</v>
      </c>
      <c r="I4" s="310" t="str">
        <f>IF(H4=0,"","Does not match DOE25 page 7 and 11 Totals!!")</f>
        <v/>
      </c>
      <c r="N4"/>
    </row>
    <row r="5" spans="1:18" x14ac:dyDescent="0.2">
      <c r="A5" s="21" t="s">
        <v>1354</v>
      </c>
      <c r="B5" s="305">
        <f>IFERROR(VLOOKUP(A5,'School Tables'!$C$3:$D$368,2,FALSE),"")</f>
        <v>22905</v>
      </c>
      <c r="C5" s="297" t="str">
        <f>IFERROR(INDEX('School Tables'!$B$3:$B$368,MATCH('School Level Expenditures'!B5,'School Tables'!$D$3:$D$368,0)),"")</f>
        <v>Northumberland</v>
      </c>
      <c r="D5" s="294">
        <v>3035159.39</v>
      </c>
      <c r="E5" s="294">
        <v>311212.59000000003</v>
      </c>
      <c r="F5" s="313">
        <f>D5+E5</f>
        <v>3346371.98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2109056.2200000002</v>
      </c>
      <c r="G36" s="303">
        <f>'DOE25'!L247+'DOE25'!L328</f>
        <v>2109056.2200000002</v>
      </c>
      <c r="H36" s="304">
        <f>F36-G36</f>
        <v>0</v>
      </c>
      <c r="I36" s="310" t="str">
        <f>IF(H36=0,"","Does not match DOE25 page 9 and 13 Totals!!")</f>
        <v/>
      </c>
      <c r="N36"/>
    </row>
    <row r="37" spans="1:14" x14ac:dyDescent="0.2">
      <c r="A37" s="21" t="s">
        <v>1353</v>
      </c>
      <c r="B37" s="305">
        <f>IFERROR(VLOOKUP(A37,'School Tables'!$O$3:$P$122,2,FALSE),"")</f>
        <v>22900</v>
      </c>
      <c r="C37" s="297" t="str">
        <f t="array" ref="C37">IFERROR(INDEX('School Tables'!$N$3:$N$122,MATCH('School Level Expenditures'!B37,'School Tables'!$P$3:$P$122,0)),"")</f>
        <v>Northumberland</v>
      </c>
      <c r="D37" s="294">
        <v>1912913.99</v>
      </c>
      <c r="E37" s="294">
        <v>196142.23</v>
      </c>
      <c r="F37" s="308">
        <f>D37+E37</f>
        <v>2109056.2200000002</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NORTHUMBERLAND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358887.56</v>
      </c>
      <c r="D8" s="95">
        <f>'DOE25'!G9</f>
        <v>0</v>
      </c>
      <c r="E8" s="95">
        <f>'DOE25'!H9</f>
        <v>0</v>
      </c>
      <c r="F8" s="95">
        <f>'DOE25'!I9</f>
        <v>0</v>
      </c>
      <c r="G8" s="95">
        <f>'DOE25'!J9</f>
        <v>340497.02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65346.38</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5957.23</v>
      </c>
      <c r="E13" s="95">
        <f>'DOE25'!H14</f>
        <v>56306.18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424233.94</v>
      </c>
      <c r="D18" s="41">
        <f>SUM(D8:D17)</f>
        <v>5957.23</v>
      </c>
      <c r="E18" s="41">
        <f>SUM(E8:E17)</f>
        <v>56306.18</v>
      </c>
      <c r="F18" s="41">
        <f>SUM(F8:F17)</f>
        <v>0</v>
      </c>
      <c r="G18" s="41">
        <f>SUM(G8:G17)</f>
        <v>340497.02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5957.23</v>
      </c>
      <c r="E21" s="95">
        <f>'DOE25'!H22</f>
        <v>56306.18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13303.15</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13303.15</v>
      </c>
      <c r="D31" s="41">
        <f>SUM(D21:D30)</f>
        <v>5957.23</v>
      </c>
      <c r="E31" s="41">
        <f>SUM(E21:E30)</f>
        <v>56306.18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340497.02</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48535.45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362395.34</v>
      </c>
      <c r="D49" s="24" t="s">
        <v>288</v>
      </c>
      <c r="E49" s="24" t="s">
        <v>288</v>
      </c>
      <c r="F49" s="24" t="s">
        <v>288</v>
      </c>
      <c r="G49" s="24" t="s">
        <v>288</v>
      </c>
      <c r="H49" s="124"/>
      <c r="I49" s="124"/>
    </row>
    <row r="50" spans="1:9" ht="12.75" thickTop="1" thickBot="1" x14ac:dyDescent="0.25">
      <c r="A50" s="38" t="s">
        <v>884</v>
      </c>
      <c r="B50" s="48"/>
      <c r="C50" s="41">
        <f>SUM(C34:C49)</f>
        <v>410930.79000000004</v>
      </c>
      <c r="D50" s="41">
        <f>SUM(D34:D49)</f>
        <v>0</v>
      </c>
      <c r="E50" s="41">
        <f>SUM(E34:E49)</f>
        <v>0</v>
      </c>
      <c r="F50" s="41">
        <f>SUM(F34:F49)</f>
        <v>0</v>
      </c>
      <c r="G50" s="41">
        <f>SUM(G34:G49)</f>
        <v>340497.02</v>
      </c>
      <c r="H50" s="124"/>
      <c r="I50" s="124"/>
    </row>
    <row r="51" spans="1:9" ht="12" thickTop="1" x14ac:dyDescent="0.2">
      <c r="A51" s="38" t="s">
        <v>885</v>
      </c>
      <c r="B51" s="2"/>
      <c r="C51" s="41">
        <f>C50+C31</f>
        <v>424233.94000000006</v>
      </c>
      <c r="D51" s="41">
        <f>D50+D31</f>
        <v>5957.23</v>
      </c>
      <c r="E51" s="41">
        <f>E50+E31</f>
        <v>56306.18</v>
      </c>
      <c r="F51" s="41">
        <f>F50+F31</f>
        <v>0</v>
      </c>
      <c r="G51" s="41">
        <f>G50+G31</f>
        <v>340497.02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1755714</v>
      </c>
      <c r="D56" s="95">
        <f>'DOE25'!G60</f>
        <v>0</v>
      </c>
      <c r="E56" s="95">
        <f>'DOE25'!H60</f>
        <v>0</v>
      </c>
      <c r="F56" s="95">
        <f>'DOE25'!I60</f>
        <v>0</v>
      </c>
      <c r="G56" s="95">
        <f>'DOE25'!J60</f>
        <v>0</v>
      </c>
      <c r="H56"/>
      <c r="I56"/>
    </row>
    <row r="57" spans="1:9" x14ac:dyDescent="0.2">
      <c r="A57" s="1" t="s">
        <v>164</v>
      </c>
      <c r="B57" s="6" t="s">
        <v>165</v>
      </c>
      <c r="C57" s="95">
        <f>'DOE25'!F79</f>
        <v>863027.07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3105.67</v>
      </c>
      <c r="D59" s="95">
        <f>'DOE25'!G96</f>
        <v>0</v>
      </c>
      <c r="E59" s="95">
        <f>'DOE25'!H96</f>
        <v>0</v>
      </c>
      <c r="F59" s="95">
        <f>'DOE25'!I96</f>
        <v>0</v>
      </c>
      <c r="G59" s="95">
        <f>'DOE25'!J96</f>
        <v>7513.71</v>
      </c>
      <c r="H59"/>
      <c r="I59"/>
    </row>
    <row r="60" spans="1:9" x14ac:dyDescent="0.2">
      <c r="A60" s="1" t="s">
        <v>170</v>
      </c>
      <c r="B60" s="118" t="s">
        <v>171</v>
      </c>
      <c r="C60" s="24" t="s">
        <v>288</v>
      </c>
      <c r="D60" s="95">
        <f>'DOE25'!G97</f>
        <v>41397.49</v>
      </c>
      <c r="E60" s="24" t="s">
        <v>288</v>
      </c>
      <c r="F60" s="24" t="s">
        <v>288</v>
      </c>
      <c r="G60" s="24" t="s">
        <v>288</v>
      </c>
      <c r="H60"/>
      <c r="I60"/>
    </row>
    <row r="61" spans="1:9" ht="12" thickBot="1" x14ac:dyDescent="0.25">
      <c r="A61" s="1" t="s">
        <v>172</v>
      </c>
      <c r="B61" s="118" t="s">
        <v>173</v>
      </c>
      <c r="C61" s="95">
        <f>SUM('DOE25'!F98:F110)</f>
        <v>10238.040000000001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876370.78</v>
      </c>
      <c r="D62" s="130">
        <f>SUM(D57:D61)</f>
        <v>41397.49</v>
      </c>
      <c r="E62" s="130">
        <f>SUM(E57:E61)</f>
        <v>0</v>
      </c>
      <c r="F62" s="130">
        <f>SUM(F57:F61)</f>
        <v>0</v>
      </c>
      <c r="G62" s="130">
        <f>SUM(G57:G61)</f>
        <v>7513.71</v>
      </c>
      <c r="H62"/>
      <c r="I62"/>
    </row>
    <row r="63" spans="1:9" ht="12" thickTop="1" x14ac:dyDescent="0.2">
      <c r="A63" s="29" t="s">
        <v>175</v>
      </c>
      <c r="B63" s="6"/>
      <c r="C63" s="22">
        <f>C56+C62</f>
        <v>2632084.7800000003</v>
      </c>
      <c r="D63" s="22">
        <f>D56+D62</f>
        <v>41397.49</v>
      </c>
      <c r="E63" s="22">
        <f>E56+E62</f>
        <v>0</v>
      </c>
      <c r="F63" s="22">
        <f>F56+F62</f>
        <v>0</v>
      </c>
      <c r="G63" s="22">
        <f>G56+G62</f>
        <v>7513.71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2379231.87</v>
      </c>
      <c r="D66" s="24" t="s">
        <v>288</v>
      </c>
      <c r="E66" s="24" t="s">
        <v>288</v>
      </c>
      <c r="F66" s="24" t="s">
        <v>288</v>
      </c>
      <c r="G66" s="24" t="s">
        <v>288</v>
      </c>
      <c r="H66"/>
      <c r="I66"/>
    </row>
    <row r="67" spans="1:9" x14ac:dyDescent="0.2">
      <c r="A67" s="1" t="s">
        <v>770</v>
      </c>
      <c r="B67" s="6">
        <v>3112</v>
      </c>
      <c r="C67" s="95">
        <f>'DOE25'!F118</f>
        <v>185704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78.239999999999995</v>
      </c>
      <c r="D69" s="95">
        <f>'DOE25'!G120</f>
        <v>0</v>
      </c>
      <c r="E69" s="95">
        <f>'DOE25'!H120</f>
        <v>0</v>
      </c>
      <c r="F69" s="95">
        <f>'DOE25'!I120</f>
        <v>0</v>
      </c>
      <c r="G69" s="95">
        <f>'DOE25'!J120</f>
        <v>0</v>
      </c>
      <c r="H69"/>
      <c r="I69"/>
    </row>
    <row r="70" spans="1:9" ht="12" thickTop="1" x14ac:dyDescent="0.2">
      <c r="A70" s="29" t="s">
        <v>252</v>
      </c>
      <c r="B70" s="2"/>
      <c r="C70" s="139">
        <f>SUM(C66:C69)</f>
        <v>2565014.1100000003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9000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25144.79</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10337.799999999999</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1931.63</v>
      </c>
      <c r="E77" s="95">
        <f>SUM('DOE25'!H131:H135)</f>
        <v>0</v>
      </c>
      <c r="F77" s="95">
        <f>SUM('DOE25'!I131:I135)</f>
        <v>0</v>
      </c>
      <c r="G77" s="95">
        <f>SUM('DOE25'!J131:J135)</f>
        <v>0</v>
      </c>
      <c r="H77"/>
      <c r="I77"/>
    </row>
    <row r="78" spans="1:9" ht="12.75" thickTop="1" thickBot="1" x14ac:dyDescent="0.25">
      <c r="A78" s="29" t="s">
        <v>259</v>
      </c>
      <c r="B78" s="6"/>
      <c r="C78" s="130">
        <f>SUM(C72:C77)</f>
        <v>44482.59</v>
      </c>
      <c r="D78" s="130">
        <f>SUM(D72:D77)</f>
        <v>1931.63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2609496.7000000002</v>
      </c>
      <c r="D81" s="130">
        <f>SUM(D79:D80)+D78+D70</f>
        <v>1931.63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52105.67</v>
      </c>
      <c r="D88" s="95">
        <f>SUM('DOE25'!G153:G161)</f>
        <v>123048.82</v>
      </c>
      <c r="E88" s="95">
        <f>SUM('DOE25'!H153:H161)</f>
        <v>366203.7</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52105.67</v>
      </c>
      <c r="D91" s="131">
        <f>SUM(D85:D90)</f>
        <v>123048.82</v>
      </c>
      <c r="E91" s="131">
        <f>SUM(E85:E90)</f>
        <v>366203.7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1871.28</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10419.719999999999</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1871.28</v>
      </c>
      <c r="D103" s="86">
        <f>SUM(D93:D102)</f>
        <v>10419.719999999999</v>
      </c>
      <c r="E103" s="86">
        <f>SUM(E93:E102)</f>
        <v>0</v>
      </c>
      <c r="F103" s="86">
        <f>SUM(F93:F102)</f>
        <v>0</v>
      </c>
      <c r="G103" s="86">
        <f>SUM(G93:G102)</f>
        <v>0</v>
      </c>
    </row>
    <row r="104" spans="1:7" ht="12.75" thickTop="1" thickBot="1" x14ac:dyDescent="0.25">
      <c r="A104" s="33" t="s">
        <v>761</v>
      </c>
      <c r="C104" s="86">
        <f>C63+C81+C91+C103</f>
        <v>5295558.4300000006</v>
      </c>
      <c r="D104" s="86">
        <f>D63+D81+D91+D103</f>
        <v>176797.66</v>
      </c>
      <c r="E104" s="86">
        <f>E63+E81+E91+E103</f>
        <v>366203.7</v>
      </c>
      <c r="F104" s="86">
        <f>F63+F81+F91+F103</f>
        <v>0</v>
      </c>
      <c r="G104" s="86">
        <f>G63+G81+G103</f>
        <v>7513.71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2073842.6400000001</v>
      </c>
      <c r="D109" s="24" t="s">
        <v>288</v>
      </c>
      <c r="E109" s="95">
        <f>('DOE25'!L276)+('DOE25'!L295)+('DOE25'!L314)</f>
        <v>82482.45</v>
      </c>
      <c r="F109" s="24" t="s">
        <v>288</v>
      </c>
      <c r="G109" s="24" t="s">
        <v>288</v>
      </c>
    </row>
    <row r="110" spans="1:7" x14ac:dyDescent="0.2">
      <c r="A110" t="s">
        <v>198</v>
      </c>
      <c r="B110" s="32" t="s">
        <v>199</v>
      </c>
      <c r="C110" s="95">
        <f>('DOE25'!L198)+('DOE25'!L216)+('DOE25'!L234)</f>
        <v>844347.49</v>
      </c>
      <c r="D110" s="24" t="s">
        <v>288</v>
      </c>
      <c r="E110" s="95">
        <f>('DOE25'!L277)+('DOE25'!L296)+('DOE25'!L315)</f>
        <v>0</v>
      </c>
      <c r="F110" s="24" t="s">
        <v>288</v>
      </c>
      <c r="G110" s="24" t="s">
        <v>288</v>
      </c>
    </row>
    <row r="111" spans="1:7" x14ac:dyDescent="0.2">
      <c r="A111" t="s">
        <v>200</v>
      </c>
      <c r="B111" s="32" t="s">
        <v>165</v>
      </c>
      <c r="C111" s="95">
        <f>('DOE25'!L199)+('DOE25'!L217)+('DOE25'!L235)</f>
        <v>15877.58</v>
      </c>
      <c r="D111" s="24" t="s">
        <v>288</v>
      </c>
      <c r="E111" s="95">
        <f>('DOE25'!L278)+('DOE25'!L297)+('DOE25'!L316)</f>
        <v>0</v>
      </c>
      <c r="F111" s="24" t="s">
        <v>288</v>
      </c>
      <c r="G111" s="24" t="s">
        <v>288</v>
      </c>
    </row>
    <row r="112" spans="1:7" x14ac:dyDescent="0.2">
      <c r="A112" t="s">
        <v>201</v>
      </c>
      <c r="B112" s="32" t="s">
        <v>167</v>
      </c>
      <c r="C112" s="95">
        <f>('DOE25'!L200)+('DOE25'!L218)+('DOE25'!L236)</f>
        <v>101911.07999999999</v>
      </c>
      <c r="D112" s="24" t="s">
        <v>288</v>
      </c>
      <c r="E112" s="95">
        <f>+('DOE25'!L279)+('DOE25'!L298)+('DOE25'!L317)</f>
        <v>33287.799999999996</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12651.91</v>
      </c>
      <c r="F114" s="24" t="s">
        <v>288</v>
      </c>
      <c r="G114" s="24" t="s">
        <v>288</v>
      </c>
    </row>
    <row r="115" spans="1:7" ht="12.75" thickTop="1" thickBot="1" x14ac:dyDescent="0.25">
      <c r="A115" s="33" t="s">
        <v>205</v>
      </c>
      <c r="C115" s="86">
        <f>SUM(C109:C114)</f>
        <v>3035978.79</v>
      </c>
      <c r="D115" s="86">
        <f>SUM(D109:D114)</f>
        <v>0</v>
      </c>
      <c r="E115" s="86">
        <f>SUM(E109:E114)</f>
        <v>128422.16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423024.1</v>
      </c>
      <c r="D118" s="24" t="s">
        <v>288</v>
      </c>
      <c r="E118" s="95">
        <f>+('DOE25'!L281)+('DOE25'!L300)+('DOE25'!L319)</f>
        <v>185052.82</v>
      </c>
      <c r="F118" s="24" t="s">
        <v>288</v>
      </c>
      <c r="G118" s="24" t="s">
        <v>288</v>
      </c>
    </row>
    <row r="119" spans="1:7" x14ac:dyDescent="0.2">
      <c r="A119" t="s">
        <v>208</v>
      </c>
      <c r="B119" s="32" t="s">
        <v>209</v>
      </c>
      <c r="C119" s="95">
        <f>('DOE25'!L203)+('DOE25'!L221)+('DOE25'!L239)</f>
        <v>94216.44</v>
      </c>
      <c r="D119" s="24" t="s">
        <v>288</v>
      </c>
      <c r="E119" s="95">
        <f>+('DOE25'!L282)+('DOE25'!L301)+('DOE25'!L320)</f>
        <v>11827.49</v>
      </c>
      <c r="F119" s="24" t="s">
        <v>288</v>
      </c>
      <c r="G119" s="24" t="s">
        <v>288</v>
      </c>
    </row>
    <row r="120" spans="1:7" x14ac:dyDescent="0.2">
      <c r="A120" t="s">
        <v>210</v>
      </c>
      <c r="B120" s="32" t="s">
        <v>211</v>
      </c>
      <c r="C120" s="95">
        <f>('DOE25'!L204)+('DOE25'!L222)+('DOE25'!L240)</f>
        <v>395826.93</v>
      </c>
      <c r="D120" s="24" t="s">
        <v>288</v>
      </c>
      <c r="E120" s="95">
        <f>+('DOE25'!L283)+('DOE25'!L302)+('DOE25'!L321)</f>
        <v>0</v>
      </c>
      <c r="F120" s="24" t="s">
        <v>288</v>
      </c>
      <c r="G120" s="24" t="s">
        <v>288</v>
      </c>
    </row>
    <row r="121" spans="1:7" x14ac:dyDescent="0.2">
      <c r="A121" t="s">
        <v>212</v>
      </c>
      <c r="B121" s="32" t="s">
        <v>213</v>
      </c>
      <c r="C121" s="95">
        <f>('DOE25'!L205)+('DOE25'!L223)+('DOE25'!L241)</f>
        <v>546583.92000000004</v>
      </c>
      <c r="D121" s="24" t="s">
        <v>288</v>
      </c>
      <c r="E121" s="95">
        <f>+('DOE25'!L284)+('DOE25'!L303)+('DOE25'!L322)</f>
        <v>6815.3200000000006</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461248.42000000004</v>
      </c>
      <c r="D123" s="24" t="s">
        <v>288</v>
      </c>
      <c r="E123" s="95">
        <f>+('DOE25'!L286)+('DOE25'!L305)+('DOE25'!L324)</f>
        <v>0</v>
      </c>
      <c r="F123" s="24" t="s">
        <v>288</v>
      </c>
      <c r="G123" s="24" t="s">
        <v>288</v>
      </c>
    </row>
    <row r="124" spans="1:7" x14ac:dyDescent="0.2">
      <c r="A124" t="s">
        <v>218</v>
      </c>
      <c r="B124" s="32" t="s">
        <v>219</v>
      </c>
      <c r="C124" s="95">
        <f>('DOE25'!L208)+('DOE25'!L226)+('DOE25'!L244+'DOE25'!L254)</f>
        <v>179083.72</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176797.66</v>
      </c>
      <c r="E127" s="24" t="s">
        <v>288</v>
      </c>
      <c r="F127" s="24" t="s">
        <v>288</v>
      </c>
      <c r="G127" s="24" t="s">
        <v>288</v>
      </c>
    </row>
    <row r="128" spans="1:7" ht="12.75" thickTop="1" thickBot="1" x14ac:dyDescent="0.25">
      <c r="A128" s="33" t="s">
        <v>226</v>
      </c>
      <c r="C128" s="86">
        <f>SUM(C118:C127)</f>
        <v>2099983.5300000003</v>
      </c>
      <c r="D128" s="86">
        <f>SUM(D118:D127)</f>
        <v>176797.66</v>
      </c>
      <c r="E128" s="86">
        <f>SUM(E118:E127)</f>
        <v>203695.63</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94235.63</v>
      </c>
      <c r="D130" s="24" t="s">
        <v>288</v>
      </c>
      <c r="E130" s="129">
        <f>'DOE25'!L336</f>
        <v>34085.910000000003</v>
      </c>
      <c r="F130" s="129">
        <f>SUM('DOE25'!L374:'DOE25'!L380)</f>
        <v>0</v>
      </c>
      <c r="G130" s="24" t="s">
        <v>288</v>
      </c>
    </row>
    <row r="131" spans="1:7" x14ac:dyDescent="0.2">
      <c r="A131" t="s">
        <v>229</v>
      </c>
      <c r="B131" s="32">
        <v>5110</v>
      </c>
      <c r="C131" s="95">
        <f>'DOE25'!L260</f>
        <v>15000</v>
      </c>
      <c r="D131" s="24" t="s">
        <v>288</v>
      </c>
      <c r="E131" s="129">
        <f>'DOE25'!L341</f>
        <v>0</v>
      </c>
      <c r="F131" s="24" t="s">
        <v>288</v>
      </c>
      <c r="G131" s="24" t="s">
        <v>288</v>
      </c>
    </row>
    <row r="132" spans="1:7" x14ac:dyDescent="0.2">
      <c r="A132" t="s">
        <v>230</v>
      </c>
      <c r="B132" s="32">
        <v>5120</v>
      </c>
      <c r="C132" s="95">
        <f>'DOE25'!L261</f>
        <v>2021.25</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10419.719999999999</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7513.7099999999991</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-7513.7099999999991</v>
      </c>
      <c r="D141" s="24" t="s">
        <v>288</v>
      </c>
      <c r="E141" s="24" t="s">
        <v>288</v>
      </c>
      <c r="F141" s="24" t="s">
        <v>288</v>
      </c>
      <c r="G141" s="24" t="s">
        <v>288</v>
      </c>
    </row>
    <row r="142" spans="1:7" x14ac:dyDescent="0.2">
      <c r="A142" t="s">
        <v>241</v>
      </c>
      <c r="B142" s="32">
        <v>5310</v>
      </c>
      <c r="C142" s="129">
        <f>'DOE25'!L268</f>
        <v>24636</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146312.6</v>
      </c>
      <c r="D144" s="141">
        <f>SUM(D130:D143)</f>
        <v>0</v>
      </c>
      <c r="E144" s="141">
        <f>SUM(E130:E143)</f>
        <v>34085.910000000003</v>
      </c>
      <c r="F144" s="141">
        <f>SUM(F130:F143)</f>
        <v>0</v>
      </c>
      <c r="G144" s="141">
        <f>SUM(G130:G143)</f>
        <v>0</v>
      </c>
    </row>
    <row r="145" spans="1:9" ht="12.75" thickTop="1" thickBot="1" x14ac:dyDescent="0.25">
      <c r="A145" s="33" t="s">
        <v>244</v>
      </c>
      <c r="C145" s="86">
        <f>(C115+C128+C144)</f>
        <v>5282274.92</v>
      </c>
      <c r="D145" s="86">
        <f>(D115+D128+D144)</f>
        <v>176797.66</v>
      </c>
      <c r="E145" s="86">
        <f>(E115+E128+E144)</f>
        <v>366203.70000000007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10</v>
      </c>
      <c r="C151" s="153">
        <f>'DOE25'!G490</f>
        <v>0</v>
      </c>
      <c r="D151" s="153">
        <f>'DOE25'!H490</f>
        <v>0</v>
      </c>
      <c r="E151" s="153">
        <f>'DOE25'!I490</f>
        <v>0</v>
      </c>
      <c r="F151" s="153">
        <f>'DOE25'!J490</f>
        <v>0</v>
      </c>
      <c r="G151" s="24" t="s">
        <v>288</v>
      </c>
    </row>
    <row r="152" spans="1:9" x14ac:dyDescent="0.2">
      <c r="A152" s="136" t="s">
        <v>28</v>
      </c>
      <c r="B152" s="152" t="str">
        <f>'DOE25'!F491</f>
        <v>9/10</v>
      </c>
      <c r="C152" s="152">
        <f>'DOE25'!G491</f>
        <v>0</v>
      </c>
      <c r="D152" s="152">
        <f>'DOE25'!H491</f>
        <v>0</v>
      </c>
      <c r="E152" s="152">
        <f>'DOE25'!I491</f>
        <v>0</v>
      </c>
      <c r="F152" s="152">
        <f>'DOE25'!J491</f>
        <v>0</v>
      </c>
      <c r="G152" s="24" t="s">
        <v>288</v>
      </c>
    </row>
    <row r="153" spans="1:9" x14ac:dyDescent="0.2">
      <c r="A153" s="136" t="s">
        <v>29</v>
      </c>
      <c r="B153" s="152" t="str">
        <f>'DOE25'!F492</f>
        <v>9/20</v>
      </c>
      <c r="C153" s="152">
        <f>'DOE25'!G492</f>
        <v>0</v>
      </c>
      <c r="D153" s="152">
        <f>'DOE25'!H492</f>
        <v>0</v>
      </c>
      <c r="E153" s="152">
        <f>'DOE25'!I492</f>
        <v>0</v>
      </c>
      <c r="F153" s="152">
        <f>'DOE25'!J492</f>
        <v>0</v>
      </c>
      <c r="G153" s="24" t="s">
        <v>288</v>
      </c>
    </row>
    <row r="154" spans="1:9" x14ac:dyDescent="0.2">
      <c r="A154" s="136" t="s">
        <v>30</v>
      </c>
      <c r="B154" s="137">
        <f>'DOE25'!F493</f>
        <v>225501.31</v>
      </c>
      <c r="C154" s="137">
        <f>'DOE25'!G493</f>
        <v>0</v>
      </c>
      <c r="D154" s="137">
        <f>'DOE25'!H493</f>
        <v>0</v>
      </c>
      <c r="E154" s="137">
        <f>'DOE25'!I493</f>
        <v>0</v>
      </c>
      <c r="F154" s="137">
        <f>'DOE25'!J493</f>
        <v>0</v>
      </c>
      <c r="G154" s="24" t="s">
        <v>288</v>
      </c>
    </row>
    <row r="155" spans="1:9" x14ac:dyDescent="0.2">
      <c r="A155" s="136" t="s">
        <v>31</v>
      </c>
      <c r="B155" s="137">
        <f>'DOE25'!F494</f>
        <v>5.39</v>
      </c>
      <c r="C155" s="137">
        <f>'DOE25'!G494</f>
        <v>0</v>
      </c>
      <c r="D155" s="137">
        <f>'DOE25'!H494</f>
        <v>0</v>
      </c>
      <c r="E155" s="137">
        <f>'DOE25'!I494</f>
        <v>0</v>
      </c>
      <c r="F155" s="137">
        <f>'DOE25'!J494</f>
        <v>0</v>
      </c>
      <c r="G155" s="24" t="s">
        <v>288</v>
      </c>
    </row>
    <row r="156" spans="1:9" x14ac:dyDescent="0.2">
      <c r="A156" s="22" t="s">
        <v>32</v>
      </c>
      <c r="B156" s="137">
        <f>'DOE25'!F495</f>
        <v>45000</v>
      </c>
      <c r="C156" s="137">
        <f>'DOE25'!G495</f>
        <v>0</v>
      </c>
      <c r="D156" s="137">
        <f>'DOE25'!H495</f>
        <v>0</v>
      </c>
      <c r="E156" s="137">
        <f>'DOE25'!I495</f>
        <v>0</v>
      </c>
      <c r="F156" s="137">
        <f>'DOE25'!J495</f>
        <v>0</v>
      </c>
      <c r="G156" s="138">
        <f>SUM(B156:F156)</f>
        <v>45000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17021.25</v>
      </c>
      <c r="C158" s="137">
        <f>'DOE25'!G497</f>
        <v>0</v>
      </c>
      <c r="D158" s="137">
        <f>'DOE25'!H497</f>
        <v>0</v>
      </c>
      <c r="E158" s="137">
        <f>'DOE25'!I497</f>
        <v>0</v>
      </c>
      <c r="F158" s="137">
        <f>'DOE25'!J497</f>
        <v>0</v>
      </c>
      <c r="G158" s="138">
        <f t="shared" si="0"/>
        <v>17021.25</v>
      </c>
    </row>
    <row r="159" spans="1:9" x14ac:dyDescent="0.2">
      <c r="A159" s="22" t="s">
        <v>35</v>
      </c>
      <c r="B159" s="137">
        <f>'DOE25'!F498</f>
        <v>30000</v>
      </c>
      <c r="C159" s="137">
        <f>'DOE25'!G498</f>
        <v>0</v>
      </c>
      <c r="D159" s="137">
        <f>'DOE25'!H498</f>
        <v>0</v>
      </c>
      <c r="E159" s="137">
        <f>'DOE25'!I498</f>
        <v>0</v>
      </c>
      <c r="F159" s="137">
        <f>'DOE25'!J498</f>
        <v>0</v>
      </c>
      <c r="G159" s="138">
        <f t="shared" si="0"/>
        <v>30000</v>
      </c>
    </row>
    <row r="160" spans="1:9" x14ac:dyDescent="0.2">
      <c r="A160" s="22" t="s">
        <v>36</v>
      </c>
      <c r="B160" s="137">
        <f>'DOE25'!F499</f>
        <v>1617</v>
      </c>
      <c r="C160" s="137">
        <f>'DOE25'!G499</f>
        <v>0</v>
      </c>
      <c r="D160" s="137">
        <f>'DOE25'!H499</f>
        <v>0</v>
      </c>
      <c r="E160" s="137">
        <f>'DOE25'!I499</f>
        <v>0</v>
      </c>
      <c r="F160" s="137">
        <f>'DOE25'!J499</f>
        <v>0</v>
      </c>
      <c r="G160" s="138">
        <f t="shared" si="0"/>
        <v>1617</v>
      </c>
    </row>
    <row r="161" spans="1:7" x14ac:dyDescent="0.2">
      <c r="A161" s="22" t="s">
        <v>37</v>
      </c>
      <c r="B161" s="137">
        <f>'DOE25'!F500</f>
        <v>31617</v>
      </c>
      <c r="C161" s="137">
        <f>'DOE25'!G500</f>
        <v>0</v>
      </c>
      <c r="D161" s="137">
        <f>'DOE25'!H500</f>
        <v>0</v>
      </c>
      <c r="E161" s="137">
        <f>'DOE25'!I500</f>
        <v>0</v>
      </c>
      <c r="F161" s="137">
        <f>'DOE25'!J500</f>
        <v>0</v>
      </c>
      <c r="G161" s="138">
        <f t="shared" si="0"/>
        <v>31617</v>
      </c>
    </row>
    <row r="162" spans="1:7" x14ac:dyDescent="0.2">
      <c r="A162" s="22" t="s">
        <v>38</v>
      </c>
      <c r="B162" s="137">
        <f>'DOE25'!F501</f>
        <v>15000</v>
      </c>
      <c r="C162" s="137">
        <f>'DOE25'!G501</f>
        <v>0</v>
      </c>
      <c r="D162" s="137">
        <f>'DOE25'!H501</f>
        <v>0</v>
      </c>
      <c r="E162" s="137">
        <f>'DOE25'!I501</f>
        <v>0</v>
      </c>
      <c r="F162" s="137">
        <f>'DOE25'!J501</f>
        <v>0</v>
      </c>
      <c r="G162" s="138">
        <f t="shared" si="0"/>
        <v>15000</v>
      </c>
    </row>
    <row r="163" spans="1:7" x14ac:dyDescent="0.2">
      <c r="A163" s="22" t="s">
        <v>39</v>
      </c>
      <c r="B163" s="137">
        <f>'DOE25'!F502</f>
        <v>1212.75</v>
      </c>
      <c r="C163" s="137">
        <f>'DOE25'!G502</f>
        <v>0</v>
      </c>
      <c r="D163" s="137">
        <f>'DOE25'!H502</f>
        <v>0</v>
      </c>
      <c r="E163" s="137">
        <f>'DOE25'!I502</f>
        <v>0</v>
      </c>
      <c r="F163" s="137">
        <f>'DOE25'!J502</f>
        <v>0</v>
      </c>
      <c r="G163" s="138">
        <f t="shared" si="0"/>
        <v>1212.75</v>
      </c>
    </row>
    <row r="164" spans="1:7" x14ac:dyDescent="0.2">
      <c r="A164" s="22" t="s">
        <v>246</v>
      </c>
      <c r="B164" s="137">
        <f>'DOE25'!F503</f>
        <v>16212.75</v>
      </c>
      <c r="C164" s="137">
        <f>'DOE25'!G503</f>
        <v>0</v>
      </c>
      <c r="D164" s="137">
        <f>'DOE25'!H503</f>
        <v>0</v>
      </c>
      <c r="E164" s="137">
        <f>'DOE25'!I503</f>
        <v>0</v>
      </c>
      <c r="F164" s="137">
        <f>'DOE25'!J503</f>
        <v>0</v>
      </c>
      <c r="G164" s="138">
        <f t="shared" si="0"/>
        <v>16212.75</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NORTHUMBERLAND SCHOOL DISTRICT</v>
      </c>
    </row>
    <row r="3" spans="1:4" x14ac:dyDescent="0.2">
      <c r="B3" s="188" t="s">
        <v>1602</v>
      </c>
    </row>
    <row r="4" spans="1:4" x14ac:dyDescent="0.2">
      <c r="B4" t="s">
        <v>61</v>
      </c>
      <c r="C4" s="179">
        <f>IF('DOE25'!F665+'DOE25'!F670=0,0,ROUND('DOE25'!F672,0))</f>
        <v>16428</v>
      </c>
    </row>
    <row r="5" spans="1:4" x14ac:dyDescent="0.2">
      <c r="B5" t="s">
        <v>700</v>
      </c>
      <c r="C5" s="179">
        <f>IF('DOE25'!G665+'DOE25'!G670=0,0,ROUND('DOE25'!G672,0))</f>
        <v>0</v>
      </c>
    </row>
    <row r="6" spans="1:4" x14ac:dyDescent="0.2">
      <c r="B6" t="s">
        <v>62</v>
      </c>
      <c r="C6" s="179">
        <f>IF('DOE25'!H665+'DOE25'!H670=0,0,ROUND('DOE25'!H672,0))</f>
        <v>16237</v>
      </c>
    </row>
    <row r="7" spans="1:4" x14ac:dyDescent="0.2">
      <c r="B7" t="s">
        <v>701</v>
      </c>
      <c r="C7" s="179">
        <f>IF('DOE25'!I665+'DOE25'!I670=0,0,ROUND('DOE25'!I672,0))</f>
        <v>16357</v>
      </c>
    </row>
    <row r="9" spans="1:4" x14ac:dyDescent="0.2">
      <c r="A9" s="187" t="s">
        <v>94</v>
      </c>
      <c r="B9" s="188" t="s">
        <v>1603</v>
      </c>
      <c r="C9" s="181" t="s">
        <v>720</v>
      </c>
      <c r="D9" s="181" t="s">
        <v>721</v>
      </c>
    </row>
    <row r="10" spans="1:4" x14ac:dyDescent="0.2">
      <c r="A10">
        <v>1100</v>
      </c>
      <c r="B10" t="s">
        <v>702</v>
      </c>
      <c r="C10" s="179">
        <f>ROUND('DOE25'!L197+'DOE25'!L215+'DOE25'!L233+'DOE25'!L276+'DOE25'!L295+'DOE25'!L314,0)</f>
        <v>2156325</v>
      </c>
      <c r="D10" s="182">
        <f>ROUND((C10/$C$28)*100,1)</f>
        <v>38.299999999999997</v>
      </c>
    </row>
    <row r="11" spans="1:4" x14ac:dyDescent="0.2">
      <c r="A11">
        <v>1200</v>
      </c>
      <c r="B11" t="s">
        <v>703</v>
      </c>
      <c r="C11" s="179">
        <f>ROUND('DOE25'!L198+'DOE25'!L216+'DOE25'!L234+'DOE25'!L277+'DOE25'!L296+'DOE25'!L315,0)</f>
        <v>844347</v>
      </c>
      <c r="D11" s="182">
        <f>ROUND((C11/$C$28)*100,1)</f>
        <v>15</v>
      </c>
    </row>
    <row r="12" spans="1:4" x14ac:dyDescent="0.2">
      <c r="A12">
        <v>1300</v>
      </c>
      <c r="B12" t="s">
        <v>704</v>
      </c>
      <c r="C12" s="179">
        <f>ROUND('DOE25'!L199+'DOE25'!L217+'DOE25'!L235+'DOE25'!L278+'DOE25'!L297+'DOE25'!L316,0)</f>
        <v>15878</v>
      </c>
      <c r="D12" s="182">
        <f>ROUND((C12/$C$28)*100,1)</f>
        <v>0.3</v>
      </c>
    </row>
    <row r="13" spans="1:4" x14ac:dyDescent="0.2">
      <c r="A13">
        <v>1400</v>
      </c>
      <c r="B13" t="s">
        <v>705</v>
      </c>
      <c r="C13" s="179">
        <f>ROUND('DOE25'!L200+'DOE25'!L218+'DOE25'!L236+'DOE25'!L279+'DOE25'!L298+'DOE25'!L317,0)</f>
        <v>135199</v>
      </c>
      <c r="D13" s="182">
        <f>ROUND((C13/$C$28)*100,1)</f>
        <v>2.4</v>
      </c>
    </row>
    <row r="14" spans="1:4" x14ac:dyDescent="0.2">
      <c r="D14" s="182"/>
    </row>
    <row r="15" spans="1:4" x14ac:dyDescent="0.2">
      <c r="A15">
        <v>2100</v>
      </c>
      <c r="B15" t="s">
        <v>706</v>
      </c>
      <c r="C15" s="179">
        <f>ROUND('DOE25'!L202+'DOE25'!L220+'DOE25'!L238+'DOE25'!L281+'DOE25'!L300+'DOE25'!L319,0)</f>
        <v>608077</v>
      </c>
      <c r="D15" s="182">
        <f t="shared" ref="D15:D27" si="0">ROUND((C15/$C$28)*100,1)</f>
        <v>10.8</v>
      </c>
    </row>
    <row r="16" spans="1:4" x14ac:dyDescent="0.2">
      <c r="A16">
        <v>2200</v>
      </c>
      <c r="B16" t="s">
        <v>707</v>
      </c>
      <c r="C16" s="179">
        <f>ROUND('DOE25'!L203+'DOE25'!L221+'DOE25'!L239+'DOE25'!L282+'DOE25'!L301+'DOE25'!L320,0)</f>
        <v>106044</v>
      </c>
      <c r="D16" s="182">
        <f t="shared" si="0"/>
        <v>1.9</v>
      </c>
    </row>
    <row r="17" spans="1:4" x14ac:dyDescent="0.2">
      <c r="A17" s="183" t="s">
        <v>723</v>
      </c>
      <c r="B17" t="s">
        <v>738</v>
      </c>
      <c r="C17" s="179">
        <f>ROUND('DOE25'!L204+'DOE25'!L209+'DOE25'!L222+'DOE25'!L227+'DOE25'!L240+'DOE25'!L245+'DOE25'!L283+'DOE25'!L288+'DOE25'!L302+'DOE25'!L307+'DOE25'!L321+'DOE25'!L326,0)</f>
        <v>395827</v>
      </c>
      <c r="D17" s="182">
        <f t="shared" si="0"/>
        <v>7</v>
      </c>
    </row>
    <row r="18" spans="1:4" x14ac:dyDescent="0.2">
      <c r="A18">
        <v>2400</v>
      </c>
      <c r="B18" t="s">
        <v>711</v>
      </c>
      <c r="C18" s="179">
        <f>ROUND('DOE25'!L205+'DOE25'!L223+'DOE25'!L241+'DOE25'!L284+'DOE25'!L303+'DOE25'!L322,0)</f>
        <v>553399</v>
      </c>
      <c r="D18" s="182">
        <f t="shared" si="0"/>
        <v>9.8000000000000007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461248</v>
      </c>
      <c r="D20" s="182">
        <f t="shared" si="0"/>
        <v>8.1999999999999993</v>
      </c>
    </row>
    <row r="21" spans="1:4" x14ac:dyDescent="0.2">
      <c r="A21">
        <v>2700</v>
      </c>
      <c r="B21" t="s">
        <v>710</v>
      </c>
      <c r="C21" s="179">
        <f>ROUND('DOE25'!L208+'DOE25'!L226+'DOE25'!L244+'DOE25'!L287+'DOE25'!L306+'DOE25'!L325,0)</f>
        <v>179084</v>
      </c>
      <c r="D21" s="182">
        <f t="shared" si="0"/>
        <v>3.2</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12652</v>
      </c>
      <c r="D24" s="182">
        <f t="shared" si="0"/>
        <v>0.2</v>
      </c>
    </row>
    <row r="25" spans="1:4" x14ac:dyDescent="0.2">
      <c r="A25">
        <v>5120</v>
      </c>
      <c r="B25" t="s">
        <v>716</v>
      </c>
      <c r="C25" s="179">
        <f>ROUND('DOE25'!L261+'DOE25'!L342,0)</f>
        <v>2021</v>
      </c>
      <c r="D25" s="182">
        <f t="shared" si="0"/>
        <v>0</v>
      </c>
    </row>
    <row r="26" spans="1:4" x14ac:dyDescent="0.2">
      <c r="A26" s="183" t="s">
        <v>717</v>
      </c>
      <c r="B26" t="s">
        <v>718</v>
      </c>
      <c r="C26" s="179">
        <f>'DOE25'!L268+'DOE25'!L269+'DOE25'!L349+'DOE25'!L350</f>
        <v>24636</v>
      </c>
      <c r="D26" s="182">
        <f t="shared" si="0"/>
        <v>0.4</v>
      </c>
    </row>
    <row r="27" spans="1:4" x14ac:dyDescent="0.2">
      <c r="A27">
        <v>3100</v>
      </c>
      <c r="B27" t="s">
        <v>11</v>
      </c>
      <c r="C27" s="179">
        <f>ROUND('DOE25'!L362-'DOE25'!L361,0)-SUM('DOE25'!G97:G110)</f>
        <v>135400.51</v>
      </c>
      <c r="D27" s="182">
        <f t="shared" si="0"/>
        <v>2.4</v>
      </c>
    </row>
    <row r="28" spans="1:4" x14ac:dyDescent="0.2">
      <c r="B28" s="187" t="s">
        <v>719</v>
      </c>
      <c r="C28" s="180">
        <f>SUM(C10:C27)</f>
        <v>5630137.5099999998</v>
      </c>
      <c r="D28" s="184">
        <f>ROUND(SUM(D10:D27),0)</f>
        <v>100</v>
      </c>
    </row>
    <row r="29" spans="1:4" x14ac:dyDescent="0.2">
      <c r="A29">
        <v>4000</v>
      </c>
      <c r="B29" t="s">
        <v>724</v>
      </c>
      <c r="C29" s="179">
        <f>ROUND('DOE25'!L255+'DOE25'!L336+'DOE25'!L374+'DOE25'!L375+'DOE25'!L376+'DOE25'!L377+'DOE25'!L378+'DOE25'!L379+'DOE25'!L380,0)</f>
        <v>128322</v>
      </c>
    </row>
    <row r="30" spans="1:4" x14ac:dyDescent="0.2">
      <c r="B30" s="187" t="s">
        <v>725</v>
      </c>
      <c r="C30" s="180">
        <f>SUM(C28:C29)</f>
        <v>5758459.5099999998</v>
      </c>
    </row>
    <row r="31" spans="1:4" x14ac:dyDescent="0.2">
      <c r="B31" s="33"/>
      <c r="C31" s="180"/>
    </row>
    <row r="32" spans="1:4" x14ac:dyDescent="0.2">
      <c r="A32">
        <v>5100</v>
      </c>
      <c r="B32" s="33" t="s">
        <v>726</v>
      </c>
      <c r="C32" s="180">
        <f>ROUND('DOE25'!L260+'DOE25'!L341,0)</f>
        <v>15000</v>
      </c>
    </row>
    <row r="34" spans="1:4" x14ac:dyDescent="0.2">
      <c r="A34" s="187" t="s">
        <v>94</v>
      </c>
      <c r="B34" s="188" t="s">
        <v>1604</v>
      </c>
      <c r="C34" s="181" t="s">
        <v>720</v>
      </c>
      <c r="D34" s="181" t="s">
        <v>721</v>
      </c>
    </row>
    <row r="35" spans="1:4" x14ac:dyDescent="0.2">
      <c r="A35">
        <v>1100</v>
      </c>
      <c r="B35" s="185" t="s">
        <v>727</v>
      </c>
      <c r="C35" s="179">
        <f>ROUND('DOE25'!F60+'DOE25'!G60+'DOE25'!H60+'DOE25'!I60+'DOE25'!J60,0)</f>
        <v>1755714</v>
      </c>
      <c r="D35" s="182">
        <f t="shared" ref="D35:D40" si="1">ROUND((C35/$C$41)*100,1)</f>
        <v>30.3</v>
      </c>
    </row>
    <row r="36" spans="1:4" x14ac:dyDescent="0.2">
      <c r="B36" s="185" t="s">
        <v>739</v>
      </c>
      <c r="C36" s="179">
        <f>SUM('DOE25'!F112:J112)-SUM('DOE25'!G97:G110)+('DOE25'!F174+'DOE25'!F175+'DOE25'!I174+'DOE25'!I175)-C35</f>
        <v>885755.76999999955</v>
      </c>
      <c r="D36" s="182">
        <f t="shared" si="1"/>
        <v>15.3</v>
      </c>
    </row>
    <row r="37" spans="1:4" x14ac:dyDescent="0.2">
      <c r="A37" s="183" t="s">
        <v>835</v>
      </c>
      <c r="B37" s="185" t="s">
        <v>728</v>
      </c>
      <c r="C37" s="179">
        <f>ROUND('DOE25'!F117+'DOE25'!F118,0)</f>
        <v>2564936</v>
      </c>
      <c r="D37" s="182">
        <f t="shared" si="1"/>
        <v>44.3</v>
      </c>
    </row>
    <row r="38" spans="1:4" x14ac:dyDescent="0.2">
      <c r="A38" s="183" t="s">
        <v>734</v>
      </c>
      <c r="B38" s="185" t="s">
        <v>729</v>
      </c>
      <c r="C38" s="179">
        <f>ROUND(SUM('DOE25'!F140:J140)-SUM('DOE25'!F117:F119),0)</f>
        <v>46492</v>
      </c>
      <c r="D38" s="182">
        <f t="shared" si="1"/>
        <v>0.8</v>
      </c>
    </row>
    <row r="39" spans="1:4" x14ac:dyDescent="0.2">
      <c r="A39">
        <v>4000</v>
      </c>
      <c r="B39" s="185" t="s">
        <v>730</v>
      </c>
      <c r="C39" s="179">
        <f>ROUND('DOE25'!F169+'DOE25'!G169+'DOE25'!H169+'DOE25'!I169,0)</f>
        <v>541358</v>
      </c>
      <c r="D39" s="182">
        <f t="shared" si="1"/>
        <v>9.3000000000000007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5794255.7699999996</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NORTHUMBERLAND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2019-11-01T12:46:48Z</cp:lastPrinted>
  <dcterms:created xsi:type="dcterms:W3CDTF">1997-12-04T19:04:30Z</dcterms:created>
  <dcterms:modified xsi:type="dcterms:W3CDTF">2019-11-22T16:04:20Z</dcterms:modified>
</cp:coreProperties>
</file>