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C122" i="2" s="1"/>
  <c r="L242" i="1"/>
  <c r="G16" i="13"/>
  <c r="H16" i="13"/>
  <c r="L209" i="1"/>
  <c r="L227" i="1"/>
  <c r="L245" i="1"/>
  <c r="C125" i="2" s="1"/>
  <c r="G5" i="13"/>
  <c r="H5" i="13"/>
  <c r="L197" i="1"/>
  <c r="L198" i="1"/>
  <c r="L199" i="1"/>
  <c r="L200" i="1"/>
  <c r="L215" i="1"/>
  <c r="L216" i="1"/>
  <c r="L217" i="1"/>
  <c r="L218" i="1"/>
  <c r="C112" i="2" s="1"/>
  <c r="L233" i="1"/>
  <c r="L234" i="1"/>
  <c r="L235" i="1"/>
  <c r="L236" i="1"/>
  <c r="G6" i="13"/>
  <c r="H6" i="13"/>
  <c r="L202" i="1"/>
  <c r="L220" i="1"/>
  <c r="L238" i="1"/>
  <c r="G7" i="13"/>
  <c r="H7" i="13"/>
  <c r="L203" i="1"/>
  <c r="L221" i="1"/>
  <c r="L239" i="1"/>
  <c r="C119" i="2" s="1"/>
  <c r="G12" i="13"/>
  <c r="H12" i="13"/>
  <c r="L205" i="1"/>
  <c r="L223" i="1"/>
  <c r="L241" i="1"/>
  <c r="C121" i="2" s="1"/>
  <c r="G14" i="13"/>
  <c r="H14" i="13"/>
  <c r="L207" i="1"/>
  <c r="L225" i="1"/>
  <c r="L243" i="1"/>
  <c r="C123" i="2" s="1"/>
  <c r="G15" i="13"/>
  <c r="H15" i="13"/>
  <c r="L208" i="1"/>
  <c r="L226" i="1"/>
  <c r="L244" i="1"/>
  <c r="G17" i="13"/>
  <c r="H17" i="13"/>
  <c r="L251" i="1"/>
  <c r="D17" i="13" s="1"/>
  <c r="G18" i="13"/>
  <c r="H18" i="13"/>
  <c r="L252" i="1"/>
  <c r="D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E118" i="2" s="1"/>
  <c r="L301" i="1"/>
  <c r="L302" i="1"/>
  <c r="L303" i="1"/>
  <c r="L304" i="1"/>
  <c r="L305" i="1"/>
  <c r="L306" i="1"/>
  <c r="L307" i="1"/>
  <c r="E125" i="2" s="1"/>
  <c r="L314" i="1"/>
  <c r="L315" i="1"/>
  <c r="E110" i="2" s="1"/>
  <c r="L316" i="1"/>
  <c r="E111" i="2" s="1"/>
  <c r="L317" i="1"/>
  <c r="L319" i="1"/>
  <c r="L320" i="1"/>
  <c r="L321" i="1"/>
  <c r="L322" i="1"/>
  <c r="L323" i="1"/>
  <c r="L324" i="1"/>
  <c r="L325" i="1"/>
  <c r="L326" i="1"/>
  <c r="L333" i="1"/>
  <c r="L334" i="1"/>
  <c r="L335" i="1"/>
  <c r="L260" i="1"/>
  <c r="C131" i="2" s="1"/>
  <c r="L261" i="1"/>
  <c r="C132" i="2"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F112" i="1" s="1"/>
  <c r="F94" i="1"/>
  <c r="F111" i="1"/>
  <c r="G111" i="1"/>
  <c r="G112" i="1" s="1"/>
  <c r="H79" i="1"/>
  <c r="H94" i="1"/>
  <c r="H111" i="1"/>
  <c r="H112" i="1" s="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L250" i="1"/>
  <c r="L332" i="1"/>
  <c r="L254" i="1"/>
  <c r="L268" i="1"/>
  <c r="C142" i="2" s="1"/>
  <c r="L269" i="1"/>
  <c r="L349" i="1"/>
  <c r="L350" i="1"/>
  <c r="I665" i="1"/>
  <c r="I670" i="1"/>
  <c r="G662"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D18" i="2" s="1"/>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E57" i="2"/>
  <c r="C58" i="2"/>
  <c r="E58" i="2"/>
  <c r="C59" i="2"/>
  <c r="D59" i="2"/>
  <c r="D62" i="2" s="1"/>
  <c r="D63" i="2" s="1"/>
  <c r="E59" i="2"/>
  <c r="F59" i="2"/>
  <c r="D60" i="2"/>
  <c r="C61" i="2"/>
  <c r="D61" i="2"/>
  <c r="E61" i="2"/>
  <c r="E62" i="2" s="1"/>
  <c r="E63" i="2" s="1"/>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E103" i="2" s="1"/>
  <c r="F99" i="2"/>
  <c r="C100" i="2"/>
  <c r="D100" i="2"/>
  <c r="E100" i="2"/>
  <c r="F100" i="2"/>
  <c r="C101" i="2"/>
  <c r="D101" i="2"/>
  <c r="E101" i="2"/>
  <c r="F101" i="2"/>
  <c r="C102" i="2"/>
  <c r="D102" i="2"/>
  <c r="E102" i="2"/>
  <c r="F102" i="2"/>
  <c r="E112" i="2"/>
  <c r="C113" i="2"/>
  <c r="E113" i="2"/>
  <c r="E114" i="2"/>
  <c r="D115" i="2"/>
  <c r="F115" i="2"/>
  <c r="G115" i="2"/>
  <c r="E119" i="2"/>
  <c r="E120" i="2"/>
  <c r="E121" i="2"/>
  <c r="E124" i="2"/>
  <c r="F128" i="2"/>
  <c r="G128" i="2"/>
  <c r="C130" i="2"/>
  <c r="E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H32" i="1"/>
  <c r="I32" i="1"/>
  <c r="G52" i="1"/>
  <c r="H618" i="1" s="1"/>
  <c r="H51" i="1"/>
  <c r="I51" i="1"/>
  <c r="F177" i="1"/>
  <c r="F192" i="1" s="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H643" i="1" s="1"/>
  <c r="J643" i="1" s="1"/>
  <c r="I408" i="1"/>
  <c r="L413" i="1"/>
  <c r="L414" i="1"/>
  <c r="L415" i="1"/>
  <c r="L416" i="1"/>
  <c r="L417" i="1"/>
  <c r="L418" i="1"/>
  <c r="F419" i="1"/>
  <c r="G419" i="1"/>
  <c r="H419" i="1"/>
  <c r="I419" i="1"/>
  <c r="J419" i="1"/>
  <c r="L421" i="1"/>
  <c r="L422" i="1"/>
  <c r="L423" i="1"/>
  <c r="L424" i="1"/>
  <c r="L425" i="1"/>
  <c r="L427" i="1" s="1"/>
  <c r="L426" i="1"/>
  <c r="F427" i="1"/>
  <c r="G427" i="1"/>
  <c r="H427" i="1"/>
  <c r="I427" i="1"/>
  <c r="J427" i="1"/>
  <c r="L429" i="1"/>
  <c r="L430" i="1"/>
  <c r="L433" i="1" s="1"/>
  <c r="L431" i="1"/>
  <c r="L432" i="1"/>
  <c r="F433" i="1"/>
  <c r="G433" i="1"/>
  <c r="H433" i="1"/>
  <c r="I433" i="1"/>
  <c r="J433" i="1"/>
  <c r="F446" i="1"/>
  <c r="G639" i="1" s="1"/>
  <c r="J639" i="1" s="1"/>
  <c r="G446" i="1"/>
  <c r="G640" i="1" s="1"/>
  <c r="H446" i="1"/>
  <c r="F452" i="1"/>
  <c r="G452" i="1"/>
  <c r="H452" i="1"/>
  <c r="H461" i="1" s="1"/>
  <c r="H641" i="1" s="1"/>
  <c r="J641" i="1" s="1"/>
  <c r="F460" i="1"/>
  <c r="F461" i="1" s="1"/>
  <c r="H639" i="1" s="1"/>
  <c r="G460" i="1"/>
  <c r="H460" i="1"/>
  <c r="F470" i="1"/>
  <c r="G470" i="1"/>
  <c r="H470" i="1"/>
  <c r="H476" i="1" s="1"/>
  <c r="H624" i="1" s="1"/>
  <c r="I470" i="1"/>
  <c r="J470" i="1"/>
  <c r="F474" i="1"/>
  <c r="G474" i="1"/>
  <c r="H474" i="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H571" i="1" s="1"/>
  <c r="I565" i="1"/>
  <c r="J565" i="1"/>
  <c r="J571" i="1" s="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H605" i="1"/>
  <c r="I605" i="1"/>
  <c r="J605" i="1"/>
  <c r="F614" i="1"/>
  <c r="G614" i="1"/>
  <c r="H614" i="1"/>
  <c r="I614" i="1"/>
  <c r="J614" i="1"/>
  <c r="K614" i="1"/>
  <c r="G620" i="1"/>
  <c r="G622" i="1"/>
  <c r="G623" i="1"/>
  <c r="G625" i="1"/>
  <c r="H627" i="1"/>
  <c r="H628" i="1"/>
  <c r="H629" i="1"/>
  <c r="H630" i="1"/>
  <c r="H631" i="1"/>
  <c r="H632" i="1"/>
  <c r="H633" i="1"/>
  <c r="H635" i="1"/>
  <c r="H636" i="1"/>
  <c r="H637" i="1"/>
  <c r="H638" i="1"/>
  <c r="G641" i="1"/>
  <c r="G643" i="1"/>
  <c r="G644" i="1"/>
  <c r="G649" i="1"/>
  <c r="G650" i="1"/>
  <c r="G651" i="1"/>
  <c r="G652" i="1"/>
  <c r="H652" i="1"/>
  <c r="G653" i="1"/>
  <c r="H653" i="1"/>
  <c r="G654" i="1"/>
  <c r="H654" i="1"/>
  <c r="H655" i="1"/>
  <c r="J655" i="1" s="1"/>
  <c r="C18" i="13"/>
  <c r="D50" i="2"/>
  <c r="F18" i="2"/>
  <c r="D91" i="2"/>
  <c r="G62" i="2"/>
  <c r="E78" i="2"/>
  <c r="E81" i="2" s="1"/>
  <c r="L419" i="1"/>
  <c r="I169" i="1"/>
  <c r="F169" i="1"/>
  <c r="J140" i="1"/>
  <c r="G22" i="2"/>
  <c r="J552" i="1"/>
  <c r="H140" i="1"/>
  <c r="L401" i="1"/>
  <c r="C139" i="2" s="1"/>
  <c r="L393" i="1"/>
  <c r="G22" i="13"/>
  <c r="C22" i="13" s="1"/>
  <c r="H192" i="1"/>
  <c r="C35" i="10"/>
  <c r="L570" i="1"/>
  <c r="G36" i="2"/>
  <c r="C138" i="2"/>
  <c r="A40" i="12" l="1"/>
  <c r="A13" i="12"/>
  <c r="F476" i="1"/>
  <c r="H622" i="1" s="1"/>
  <c r="L614" i="1"/>
  <c r="K605" i="1"/>
  <c r="G648" i="1" s="1"/>
  <c r="K598" i="1"/>
  <c r="G647" i="1" s="1"/>
  <c r="J649" i="1"/>
  <c r="L565" i="1"/>
  <c r="I571" i="1"/>
  <c r="F571" i="1"/>
  <c r="L544" i="1"/>
  <c r="I552" i="1"/>
  <c r="H552" i="1"/>
  <c r="L534" i="1"/>
  <c r="L529" i="1"/>
  <c r="G552" i="1"/>
  <c r="I545" i="1"/>
  <c r="K549" i="1"/>
  <c r="G545" i="1"/>
  <c r="F552" i="1"/>
  <c r="J545" i="1"/>
  <c r="H545" i="1"/>
  <c r="K545" i="1"/>
  <c r="G164" i="2"/>
  <c r="G161" i="2"/>
  <c r="G156" i="2"/>
  <c r="I369" i="1"/>
  <c r="H634" i="1" s="1"/>
  <c r="J634" i="1" s="1"/>
  <c r="G661" i="1"/>
  <c r="L362" i="1"/>
  <c r="C27" i="10" s="1"/>
  <c r="D127" i="2"/>
  <c r="D128" i="2" s="1"/>
  <c r="D145" i="2" s="1"/>
  <c r="F661" i="1"/>
  <c r="E123" i="2"/>
  <c r="L328" i="1"/>
  <c r="H660" i="1" s="1"/>
  <c r="C19" i="10"/>
  <c r="H662" i="1"/>
  <c r="C20" i="10"/>
  <c r="A31" i="12"/>
  <c r="G338" i="1"/>
  <c r="G352" i="1" s="1"/>
  <c r="F338" i="1"/>
  <c r="F352" i="1" s="1"/>
  <c r="L290" i="1"/>
  <c r="C18" i="10"/>
  <c r="J338" i="1"/>
  <c r="J352" i="1" s="1"/>
  <c r="K338" i="1"/>
  <c r="K352" i="1" s="1"/>
  <c r="F130" i="2"/>
  <c r="F144" i="2" s="1"/>
  <c r="F145" i="2" s="1"/>
  <c r="D15" i="13"/>
  <c r="C15" i="13" s="1"/>
  <c r="L247" i="1"/>
  <c r="C11" i="10"/>
  <c r="I257" i="1"/>
  <c r="I271" i="1" s="1"/>
  <c r="C13" i="10"/>
  <c r="C12" i="10"/>
  <c r="H257" i="1"/>
  <c r="H271" i="1" s="1"/>
  <c r="C120" i="2"/>
  <c r="C118" i="2"/>
  <c r="F257" i="1"/>
  <c r="F271" i="1" s="1"/>
  <c r="J257" i="1"/>
  <c r="J271" i="1" s="1"/>
  <c r="C110" i="2"/>
  <c r="I476" i="1"/>
  <c r="H625" i="1" s="1"/>
  <c r="J625" i="1" s="1"/>
  <c r="G476" i="1"/>
  <c r="H623" i="1" s="1"/>
  <c r="J623" i="1" s="1"/>
  <c r="H408" i="1"/>
  <c r="H644" i="1" s="1"/>
  <c r="J644" i="1" s="1"/>
  <c r="L351" i="1"/>
  <c r="K257" i="1"/>
  <c r="K271" i="1" s="1"/>
  <c r="C29" i="10"/>
  <c r="L270" i="1"/>
  <c r="C32" i="10"/>
  <c r="C91" i="2"/>
  <c r="C78" i="2"/>
  <c r="C70" i="2"/>
  <c r="J640" i="1"/>
  <c r="G461" i="1"/>
  <c r="H640" i="1" s="1"/>
  <c r="H52" i="1"/>
  <c r="H619" i="1" s="1"/>
  <c r="D31" i="2"/>
  <c r="J622" i="1"/>
  <c r="J617" i="1"/>
  <c r="C18" i="2"/>
  <c r="K551" i="1"/>
  <c r="I25" i="13"/>
  <c r="G624" i="1"/>
  <c r="K500" i="1"/>
  <c r="I452" i="1"/>
  <c r="H338" i="1"/>
  <c r="H352" i="1" s="1"/>
  <c r="I52" i="1"/>
  <c r="H620" i="1" s="1"/>
  <c r="C25" i="10"/>
  <c r="C17" i="10"/>
  <c r="C111" i="2"/>
  <c r="L211" i="1"/>
  <c r="C15" i="10"/>
  <c r="D29" i="13"/>
  <c r="C29" i="13" s="1"/>
  <c r="D12" i="13"/>
  <c r="C12" i="13" s="1"/>
  <c r="E8" i="13"/>
  <c r="C124" i="2"/>
  <c r="C16" i="10"/>
  <c r="J624" i="1"/>
  <c r="H647" i="1"/>
  <c r="C114" i="2"/>
  <c r="C17" i="13"/>
  <c r="D6" i="13"/>
  <c r="C6" i="13" s="1"/>
  <c r="E13" i="13"/>
  <c r="C13" i="13" s="1"/>
  <c r="E109" i="2"/>
  <c r="E115" i="2" s="1"/>
  <c r="C57" i="2"/>
  <c r="C62" i="2" s="1"/>
  <c r="C63" i="2" s="1"/>
  <c r="F662" i="1"/>
  <c r="I662" i="1" s="1"/>
  <c r="C21" i="10"/>
  <c r="D19" i="13"/>
  <c r="C19" i="13" s="1"/>
  <c r="D14" i="13"/>
  <c r="C14" i="13" s="1"/>
  <c r="C26" i="10"/>
  <c r="L524" i="1"/>
  <c r="L309" i="1"/>
  <c r="K550" i="1"/>
  <c r="I446" i="1"/>
  <c r="G642" i="1" s="1"/>
  <c r="G645" i="1"/>
  <c r="J645" i="1" s="1"/>
  <c r="L539" i="1"/>
  <c r="K503" i="1"/>
  <c r="L382" i="1"/>
  <c r="G636" i="1" s="1"/>
  <c r="J636" i="1" s="1"/>
  <c r="G257" i="1"/>
  <c r="G271" i="1" s="1"/>
  <c r="E122" i="2"/>
  <c r="E128" i="2" s="1"/>
  <c r="H661" i="1"/>
  <c r="D5" i="13"/>
  <c r="C5" i="13" s="1"/>
  <c r="I460" i="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C144"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C36" i="10"/>
  <c r="G63" i="2"/>
  <c r="J618" i="1"/>
  <c r="G42" i="2"/>
  <c r="J51" i="1"/>
  <c r="G16" i="2"/>
  <c r="J19" i="1"/>
  <c r="G621" i="1" s="1"/>
  <c r="G18" i="2"/>
  <c r="F545" i="1"/>
  <c r="H434" i="1"/>
  <c r="J620" i="1"/>
  <c r="J619" i="1"/>
  <c r="D103" i="2"/>
  <c r="D104" i="2" s="1"/>
  <c r="I140" i="1"/>
  <c r="I193" i="1" s="1"/>
  <c r="G630" i="1" s="1"/>
  <c r="J630" i="1" s="1"/>
  <c r="A22" i="12"/>
  <c r="H646" i="1"/>
  <c r="G50" i="2"/>
  <c r="G51" i="2" s="1"/>
  <c r="J652" i="1"/>
  <c r="G571" i="1"/>
  <c r="I434" i="1"/>
  <c r="G434" i="1"/>
  <c r="I663" i="1"/>
  <c r="C81" i="2" l="1"/>
  <c r="C104" i="2" s="1"/>
  <c r="J647" i="1"/>
  <c r="I661" i="1"/>
  <c r="G635" i="1"/>
  <c r="J635" i="1" s="1"/>
  <c r="G4" i="14"/>
  <c r="H4" i="14" s="1"/>
  <c r="I4" i="14" s="1"/>
  <c r="G36" i="14"/>
  <c r="H36" i="14" s="1"/>
  <c r="I36" i="14" s="1"/>
  <c r="G660" i="1"/>
  <c r="G664" i="1" s="1"/>
  <c r="G667" i="1" s="1"/>
  <c r="F660" i="1"/>
  <c r="F664" i="1" s="1"/>
  <c r="F667" i="1" s="1"/>
  <c r="D31" i="13"/>
  <c r="C31" i="13" s="1"/>
  <c r="C128" i="2"/>
  <c r="L257" i="1"/>
  <c r="L271" i="1" s="1"/>
  <c r="G632" i="1" s="1"/>
  <c r="J632" i="1" s="1"/>
  <c r="H648" i="1"/>
  <c r="J648" i="1" s="1"/>
  <c r="E33" i="13"/>
  <c r="D35" i="13" s="1"/>
  <c r="H664" i="1"/>
  <c r="E145" i="2"/>
  <c r="L545" i="1"/>
  <c r="I461" i="1"/>
  <c r="H642" i="1" s="1"/>
  <c r="J642" i="1" s="1"/>
  <c r="C8" i="13"/>
  <c r="L338" i="1"/>
  <c r="L352" i="1" s="1"/>
  <c r="G633" i="1" s="1"/>
  <c r="J633" i="1" s="1"/>
  <c r="G104" i="2"/>
  <c r="F51" i="2"/>
  <c r="C25" i="13"/>
  <c r="I33" i="13"/>
  <c r="G24" i="14"/>
  <c r="H24" i="14" s="1"/>
  <c r="I24" i="14" s="1"/>
  <c r="K552" i="1"/>
  <c r="C115" i="2"/>
  <c r="C28" i="10"/>
  <c r="D23" i="10" s="1"/>
  <c r="C51" i="2"/>
  <c r="G631" i="1"/>
  <c r="J631" i="1" s="1"/>
  <c r="J646" i="1"/>
  <c r="G193" i="1"/>
  <c r="G628" i="1" s="1"/>
  <c r="J628" i="1" s="1"/>
  <c r="G626" i="1"/>
  <c r="J626" i="1" s="1"/>
  <c r="J52" i="1"/>
  <c r="H621" i="1" s="1"/>
  <c r="J621" i="1" s="1"/>
  <c r="C38" i="10"/>
  <c r="I660" i="1" l="1"/>
  <c r="I664" i="1" s="1"/>
  <c r="I672" i="1" s="1"/>
  <c r="C7" i="10" s="1"/>
  <c r="G672" i="1"/>
  <c r="C5" i="10" s="1"/>
  <c r="C145" i="2"/>
  <c r="H667" i="1"/>
  <c r="H672" i="1"/>
  <c r="C6" i="10" s="1"/>
  <c r="F672" i="1"/>
  <c r="C4"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<sst xmlns="http://schemas.openxmlformats.org/spreadsheetml/2006/main" count="5514" uniqueCount="1619">
  <si>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</si>
  <si>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</si>
  <si>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</si>
  <si>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</si>
  <si>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</si>
  <si>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</si>
  <si>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</si>
  <si>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</si>
  <si>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</si>
  <si>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</si>
  <si>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</si>
  <si>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</si>
  <si>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</si>
  <si>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</si>
  <si>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</si>
  <si>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</si>
  <si>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</si>
  <si>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</si>
  <si>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</si>
  <si>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</si>
  <si>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</si>
  <si>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</si>
  <si>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</si>
  <si>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</si>
  <si>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</si>
  <si>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</si>
  <si>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</si>
  <si>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</si>
  <si>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</si>
  <si>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</si>
  <si>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</si>
  <si>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</si>
  <si>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</si>
  <si>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</si>
  <si>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</si>
  <si>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</si>
  <si>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</si>
  <si>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</si>
  <si>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</si>
  <si>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</si>
  <si>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</si>
  <si>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</si>
  <si>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</si>
  <si>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</si>
  <si>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</si>
  <si>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</si>
  <si>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</si>
  <si>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</si>
  <si>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</si>
  <si>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</si>
  <si>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</si>
  <si>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</si>
  <si>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</si>
  <si>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</si>
  <si>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</si>
  <si>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</si>
  <si>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</si>
  <si>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</si>
  <si>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</si>
  <si>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</si>
  <si>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</si>
  <si>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</si>
  <si>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</si>
  <si>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</si>
  <si>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</si>
  <si>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</si>
  <si>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</si>
  <si>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</si>
  <si>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</si>
  <si>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</si>
  <si>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</si>
  <si>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</si>
  <si>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</si>
  <si>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</si>
  <si>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</si>
  <si>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</si>
  <si>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</si>
  <si>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</si>
  <si>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</si>
  <si>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</si>
  <si>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</si>
  <si>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</si>
  <si>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</si>
  <si>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</si>
  <si>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</si>
  <si>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</si>
  <si>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</si>
  <si>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</si>
  <si>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</si>
  <si>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</si>
  <si>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</si>
  <si>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</si>
  <si>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</si>
  <si>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</si>
  <si>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</si>
  <si>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</si>
  <si>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</si>
  <si>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</si>
  <si>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</si>
  <si>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</si>
  <si>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</si>
  <si>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</si>
  <si>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</si>
  <si>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</si>
  <si>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</si>
  <si>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</si>
  <si>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</si>
  <si>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</si>
  <si>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</si>
  <si>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</si>
  <si>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</si>
  <si>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</si>
  <si>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</si>
  <si>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</si>
  <si>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</si>
  <si>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</si>
  <si>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</si>
  <si>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</si>
  <si>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</si>
  <si>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</si>
  <si>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</si>
  <si>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</si>
  <si>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</si>
  <si>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</si>
  <si>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</si>
  <si>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</si>
  <si>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</si>
  <si>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</si>
  <si>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</si>
  <si>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</si>
  <si>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</si>
  <si>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</si>
  <si>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</si>
  <si>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</si>
  <si>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</si>
  <si>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</si>
  <si>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</si>
  <si>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</si>
  <si>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</si>
  <si>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</si>
  <si>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</si>
  <si>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</si>
  <si>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</si>
  <si>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</si>
  <si>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</si>
  <si>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</si>
  <si>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</si>
  <si>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</si>
  <si>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</si>
  <si>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</si>
  <si>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</si>
  <si>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</si>
  <si>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</si>
  <si>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</si>
  <si>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</si>
  <si>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</si>
  <si>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</si>
  <si>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</si>
  <si>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</si>
  <si>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</si>
  <si>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</si>
  <si>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</si>
  <si>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</si>
  <si>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</si>
  <si>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</si>
  <si>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</si>
  <si>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</si>
  <si>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</si>
  <si>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</si>
  <si>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</si>
  <si>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</si>
  <si>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</si>
  <si>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</si>
  <si>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</si>
  <si>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</si>
  <si>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</si>
  <si>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</si>
  <si>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</si>
  <si>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</si>
  <si>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</si>
  <si>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</si>
  <si>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</si>
  <si>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</si>
  <si>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</si>
  <si>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</si>
  <si>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</si>
  <si>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</si>
  <si>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</si>
  <si>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</si>
  <si>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</si>
  <si>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</si>
  <si>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</si>
  <si>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</si>
  <si>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</si>
  <si>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</si>
  <si>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</si>
  <si>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</si>
  <si>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</si>
  <si>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</si>
  <si>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</si>
  <si>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</si>
  <si>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</si>
  <si>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</si>
  <si>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</si>
  <si>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</si>
  <si>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</si>
  <si>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</si>
  <si>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</si>
  <si>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</si>
  <si>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</si>
  <si>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</si>
  <si>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</si>
  <si>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</si>
  <si>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</si>
  <si>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</si>
  <si>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</si>
  <si>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</si>
  <si>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</si>
  <si>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</si>
  <si>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</si>
  <si>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</si>
  <si>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</si>
  <si>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</si>
  <si>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</si>
  <si>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</si>
  <si>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</si>
  <si>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</si>
  <si>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</si>
  <si>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</si>
  <si>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</si>
  <si>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</si>
  <si>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</si>
  <si>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</si>
  <si>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</si>
  <si>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</si>
  <si>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</si>
  <si>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</si>
  <si>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</si>
  <si>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</si>
  <si>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</si>
  <si>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</si>
  <si>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</si>
  <si>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</si>
  <si>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</si>
  <si>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</si>
  <si>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</si>
  <si>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</si>
  <si>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</si>
  <si>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</si>
  <si>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</si>
  <si>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</si>
  <si>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</si>
  <si>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</si>
  <si>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</si>
  <si>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</si>
  <si>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</si>
  <si>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</si>
  <si>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</si>
  <si>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</si>
  <si>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</si>
  <si>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</si>
  <si>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</si>
  <si>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</si>
  <si>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</si>
  <si>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</si>
  <si>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</si>
  <si>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</si>
  <si>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</si>
  <si>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</si>
  <si>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</si>
  <si>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</si>
  <si>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</si>
  <si>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</si>
  <si>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</si>
  <si>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</si>
  <si>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</si>
  <si>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</si>
  <si>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</si>
  <si>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</si>
  <si>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</si>
  <si>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</si>
  <si>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</si>
  <si>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</si>
  <si>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</si>
  <si>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</si>
  <si>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</si>
  <si>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</si>
  <si>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</si>
  <si>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</si>
  <si>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</si>
  <si>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</si>
  <si>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</si>
  <si>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</si>
  <si>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</si>
  <si>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</si>
  <si>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</si>
  <si>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</si>
  <si>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</si>
  <si>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</si>
  <si>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</si>
  <si>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</si>
  <si>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</si>
  <si>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</si>
  <si>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</si>
  <si>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</si>
  <si>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</si>
  <si>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</si>
  <si>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</si>
  <si>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</si>
  <si>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</si>
  <si>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</si>
  <si>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</si>
  <si>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</si>
  <si>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</si>
  <si>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</si>
  <si>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</si>
  <si>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</si>
  <si>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</si>
  <si>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</si>
  <si>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</si>
  <si>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</si>
  <si>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</si>
  <si>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</si>
  <si>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</si>
  <si>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</si>
  <si>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</si>
  <si>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</si>
  <si>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</si>
  <si>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</si>
  <si>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</si>
  <si>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</si>
  <si>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</si>
  <si>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</si>
  <si>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</si>
  <si>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</si>
  <si>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</si>
  <si>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</si>
  <si>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</si>
  <si>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</si>
  <si>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</si>
  <si>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</si>
  <si>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</si>
  <si>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</si>
  <si>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</si>
  <si>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</si>
  <si>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</si>
  <si>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</si>
  <si>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</si>
  <si>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</si>
  <si>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</si>
  <si>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</si>
  <si>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</si>
  <si>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</si>
  <si>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</si>
  <si>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</si>
  <si>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</si>
  <si>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</si>
  <si>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</si>
  <si>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</si>
  <si>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</si>
  <si>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</si>
  <si>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</si>
  <si>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</si>
  <si>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</si>
  <si>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</si>
  <si>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</si>
  <si>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</si>
  <si>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</si>
  <si>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</si>
  <si>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</si>
  <si>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</si>
  <si>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</si>
  <si>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</si>
  <si>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</si>
  <si>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</si>
  <si>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</si>
  <si>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</si>
  <si>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</si>
  <si>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</si>
  <si>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</si>
  <si>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</si>
  <si>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</si>
  <si>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</si>
  <si>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</si>
  <si>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</si>
  <si>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</si>
  <si>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</si>
  <si>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</si>
  <si>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</si>
  <si>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</si>
  <si>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</si>
  <si>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</si>
  <si>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</si>
  <si>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</si>
  <si>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</si>
  <si>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</si>
  <si>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</si>
  <si>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</si>
  <si>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</si>
  <si>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</si>
  <si>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</si>
  <si>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</si>
  <si>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</si>
  <si>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</si>
  <si>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</si>
  <si>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</si>
  <si>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</si>
  <si>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</si>
  <si>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</si>
  <si>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</si>
  <si>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</si>
  <si>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</si>
  <si>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</si>
  <si>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</si>
  <si>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</si>
  <si>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</si>
  <si>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</si>
  <si>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</si>
  <si>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</si>
  <si>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</si>
  <si>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</si>
  <si>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</si>
  <si>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</si>
  <si>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</si>
  <si>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</si>
  <si>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</si>
  <si>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</si>
  <si>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</si>
  <si>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</si>
  <si>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</si>
  <si>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</si>
  <si>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</si>
  <si>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</si>
  <si>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</si>
  <si>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</si>
  <si>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</si>
  <si>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</si>
  <si>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</si>
  <si>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</si>
  <si>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</si>
  <si>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</si>
  <si>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</si>
  <si>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</si>
  <si>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</si>
  <si>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</si>
  <si>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</si>
  <si>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</si>
  <si>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</si>
  <si>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</si>
  <si>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</si>
  <si>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</si>
  <si>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</si>
  <si>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</si>
  <si>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</si>
  <si>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</si>
  <si>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</si>
  <si>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</si>
  <si>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</si>
  <si>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</si>
  <si>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</si>
  <si>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</si>
  <si>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</si>
  <si>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</si>
  <si>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</si>
  <si>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</si>
  <si>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</si>
  <si>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</si>
  <si>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</si>
  <si>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</si>
  <si>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</si>
  <si>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</si>
  <si>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</si>
  <si>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</si>
  <si>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</si>
  <si>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</si>
  <si>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</si>
  <si>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</si>
  <si>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</si>
  <si>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</si>
  <si>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</si>
  <si>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</si>
  <si>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</si>
  <si>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</si>
  <si>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</si>
  <si>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</si>
  <si>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</si>
  <si>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</si>
  <si>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</si>
  <si>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</si>
  <si>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</si>
  <si>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</si>
  <si>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</si>
  <si>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</si>
  <si>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</si>
  <si>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</si>
  <si>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</si>
  <si>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</si>
  <si>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</si>
  <si>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</si>
  <si>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</si>
  <si>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</si>
  <si>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</si>
  <si>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</si>
  <si>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</si>
  <si>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</si>
  <si>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</si>
  <si>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</si>
  <si>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</si>
  <si>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</si>
  <si>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</si>
  <si>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</si>
  <si>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</si>
  <si>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</si>
  <si>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</si>
  <si>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</si>
  <si>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</si>
  <si>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</si>
  <si>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</si>
  <si>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</si>
  <si>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</si>
  <si>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</si>
  <si>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</si>
  <si>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</si>
  <si>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</si>
  <si>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</si>
  <si>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</si>
  <si>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</si>
  <si>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</si>
  <si>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</si>
  <si>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</si>
  <si>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</si>
  <si>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</si>
  <si>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</si>
  <si>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</si>
  <si>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</si>
  <si>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</si>
  <si>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</si>
  <si>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</si>
  <si>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</si>
  <si>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</si>
  <si>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</si>
  <si>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</si>
  <si>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</si>
  <si>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</si>
  <si>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</si>
  <si>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</si>
  <si>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</si>
  <si>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</si>
  <si>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</si>
  <si>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</si>
  <si>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</si>
  <si>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</si>
  <si>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</si>
  <si>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</si>
  <si>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</si>
  <si>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</si>
  <si>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</si>
  <si>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</si>
  <si>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</si>
  <si>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</si>
  <si>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</si>
  <si>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</si>
  <si>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</si>
  <si>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</si>
  <si>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</si>
  <si>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</si>
  <si>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</si>
  <si>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</si>
  <si>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</si>
  <si>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</si>
  <si>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</si>
  <si>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</si>
  <si>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</si>
  <si>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</si>
  <si>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</si>
  <si>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</si>
  <si>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</si>
  <si>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</si>
  <si>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</si>
  <si>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</si>
  <si>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</si>
  <si>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</si>
  <si>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</si>
  <si>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</si>
  <si>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</si>
  <si>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</si>
  <si>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</si>
  <si>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</si>
  <si>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</si>
  <si>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</si>
  <si>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</si>
  <si>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</si>
  <si>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</si>
  <si>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</si>
  <si>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</si>
  <si>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</si>
  <si>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</si>
  <si>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</si>
  <si>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</si>
  <si>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</si>
  <si>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</si>
  <si>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</si>
  <si>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</si>
  <si>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</si>
  <si>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</si>
  <si>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</si>
  <si>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</si>
  <si>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</si>
  <si>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</si>
  <si>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</si>
  <si>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</si>
  <si>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</si>
  <si>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</si>
  <si>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</si>
  <si>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</si>
  <si>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</si>
  <si>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</si>
  <si>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</si>
  <si>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</si>
  <si>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</si>
  <si>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</si>
  <si>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</si>
  <si>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</si>
  <si>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</si>
  <si>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</si>
  <si>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</si>
  <si>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</si>
  <si>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</si>
  <si>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</si>
  <si>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</si>
  <si>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</si>
  <si>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</si>
  <si>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</si>
  <si>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</si>
  <si>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</si>
  <si>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</si>
  <si>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</si>
  <si>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</si>
  <si>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</si>
  <si>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</si>
  <si>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</si>
  <si>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</si>
  <si>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</si>
  <si>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</si>
  <si>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</si>
  <si>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</si>
  <si>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</si>
  <si>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</si>
  <si>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</si>
  <si>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</si>
  <si>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</si>
  <si>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</si>
  <si>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</si>
  <si>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</si>
  <si>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</si>
  <si>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</si>
  <si>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</si>
  <si>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</si>
  <si>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</si>
  <si>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</si>
  <si>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</si>
  <si>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</si>
  <si>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</si>
  <si>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</si>
  <si>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</si>
  <si>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</si>
  <si>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</si>
  <si>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</si>
  <si>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</si>
  <si>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</si>
  <si>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</si>
  <si>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</si>
  <si>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</si>
  <si>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</si>
  <si>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</si>
  <si>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</si>
  <si>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</si>
  <si>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</si>
  <si>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</si>
  <si>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</si>
  <si>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</si>
  <si>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</si>
  <si>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</si>
  <si>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</si>
  <si>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</si>
  <si>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</si>
  <si>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</si>
  <si>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</si>
  <si>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</si>
  <si>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</si>
  <si>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</si>
  <si>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</si>
  <si>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</si>
  <si>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</si>
  <si>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</si>
  <si>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</si>
  <si>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</si>
  <si>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</si>
  <si>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</si>
  <si>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</si>
  <si>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</si>
  <si>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</si>
  <si>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</si>
  <si>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</si>
  <si>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</si>
  <si>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</si>
  <si>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</si>
  <si>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</si>
  <si>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</si>
  <si>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</si>
  <si>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</si>
  <si>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</si>
  <si>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</si>
  <si>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</si>
  <si>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</si>
  <si>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</si>
  <si>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</si>
  <si>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</si>
  <si>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</si>
  <si>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</si>
  <si>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</si>
  <si>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</si>
  <si>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</si>
  <si>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</si>
  <si>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</si>
  <si>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</si>
  <si>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</si>
  <si>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</si>
  <si>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</si>
  <si>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</si>
  <si>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</si>
  <si>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</si>
  <si>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</si>
  <si>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</si>
  <si>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</si>
  <si>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</si>
  <si>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</si>
  <si>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</si>
  <si>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</si>
  <si>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</si>
  <si>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</si>
  <si>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</si>
  <si>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</si>
  <si>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</si>
  <si>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</si>
  <si>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</si>
  <si>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</si>
  <si>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</si>
  <si>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</si>
  <si>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</si>
  <si>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</si>
  <si>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</si>
  <si>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</si>
  <si>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</si>
  <si>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</si>
  <si>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</si>
  <si>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</si>
  <si>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</si>
  <si>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</si>
  <si>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</si>
  <si>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</si>
  <si>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</si>
  <si>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</si>
  <si>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</si>
  <si>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</si>
  <si>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</si>
  <si>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</si>
  <si>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</si>
  <si>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</si>
  <si>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</si>
  <si>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</si>
  <si>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</si>
  <si>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</si>
  <si>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</si>
  <si>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</si>
  <si>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</si>
  <si>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</si>
  <si>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</si>
  <si>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</si>
  <si>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</si>
  <si>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</si>
  <si>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</si>
  <si>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</si>
  <si>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</si>
  <si>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</si>
  <si>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</si>
  <si>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</si>
  <si>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</si>
  <si>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</si>
  <si>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</si>
  <si>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</si>
  <si>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</si>
  <si>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</si>
  <si>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</si>
  <si>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</si>
  <si>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</si>
  <si>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</si>
  <si>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</si>
  <si>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</si>
  <si>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</si>
  <si>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</si>
  <si>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</si>
  <si>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</si>
  <si>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</si>
  <si>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</si>
  <si>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</si>
  <si>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</si>
  <si>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</si>
  <si>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</si>
  <si>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</si>
  <si>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</si>
  <si>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</si>
  <si>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</si>
  <si>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</si>
  <si>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</si>
  <si>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</si>
  <si>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</si>
  <si>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</si>
  <si>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</si>
  <si>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</si>
  <si>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</si>
  <si>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</si>
  <si>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</si>
  <si>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</si>
  <si>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</si>
  <si>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</si>
  <si>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</si>
  <si>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</si>
  <si>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</si>
  <si>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</si>
  <si>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</si>
  <si>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</si>
  <si>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</si>
  <si>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</si>
  <si>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</si>
  <si>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</si>
  <si>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</si>
  <si>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</si>
  <si>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</si>
  <si>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</si>
  <si>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</si>
  <si>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</si>
  <si>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</si>
  <si>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</si>
  <si>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</si>
  <si>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</si>
  <si>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</si>
  <si>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</si>
  <si>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</si>
  <si>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</si>
  <si>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</si>
  <si>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</si>
  <si>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</si>
  <si>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</si>
  <si>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</si>
  <si>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</si>
  <si>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</si>
  <si>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</si>
  <si>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</si>
  <si>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</si>
  <si>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</si>
  <si>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</si>
  <si>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</si>
  <si>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</si>
  <si>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</si>
  <si>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</si>
  <si>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</si>
  <si>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</si>
  <si>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</si>
  <si>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</si>
  <si>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</si>
  <si>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</si>
  <si>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</si>
  <si>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</si>
  <si>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</si>
  <si>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</si>
  <si>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</si>
  <si>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</si>
  <si>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</si>
  <si>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</si>
  <si>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</si>
  <si>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</si>
  <si>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</si>
  <si>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</si>
  <si>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</si>
  <si>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</si>
  <si>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</si>
  <si>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</si>
  <si>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</si>
  <si>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</si>
  <si>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</si>
  <si>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</si>
  <si>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</si>
  <si>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</si>
  <si>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</si>
  <si>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</si>
  <si>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</si>
  <si>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</si>
  <si>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</si>
  <si>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</si>
  <si>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</si>
  <si>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</si>
  <si>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</si>
  <si>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</si>
  <si>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</si>
  <si>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</si>
  <si>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</si>
  <si>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</si>
  <si>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</si>
  <si>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</si>
  <si>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</si>
  <si>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</si>
  <si>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</si>
  <si>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</si>
  <si>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</si>
  <si>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</si>
  <si>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</si>
  <si>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</si>
  <si>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</si>
  <si>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</si>
  <si>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</si>
  <si>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</si>
  <si>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</si>
  <si>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</si>
  <si>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</si>
  <si>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</si>
  <si>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</si>
  <si>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</si>
  <si>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</si>
  <si>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</si>
  <si>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</si>
  <si>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</si>
  <si>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</si>
  <si>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</si>
  <si>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</si>
  <si>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</si>
  <si>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</si>
  <si>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</si>
  <si>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</si>
  <si>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</si>
  <si>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</si>
  <si>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</si>
  <si>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</si>
  <si>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</si>
  <si>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</si>
  <si>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</si>
  <si>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</si>
  <si>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</si>
  <si>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</si>
  <si>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</si>
  <si>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</si>
  <si>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</si>
  <si>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</si>
  <si>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</si>
  <si>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</si>
  <si>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</si>
  <si>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</si>
  <si>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</si>
  <si>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</si>
  <si>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</si>
  <si>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</si>
  <si>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</si>
  <si>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</si>
  <si>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</si>
  <si>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</si>
  <si>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</si>
  <si>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</si>
  <si>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</si>
  <si>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</si>
  <si>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</si>
  <si>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</si>
  <si>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</si>
  <si>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</si>
  <si>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</si>
  <si>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</si>
  <si>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</si>
  <si>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</si>
  <si>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</si>
  <si>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</si>
  <si>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</si>
  <si>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</si>
  <si>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</si>
  <si>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</si>
  <si>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</si>
  <si>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</si>
  <si>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</si>
  <si>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</si>
  <si>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</si>
  <si>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</si>
  <si>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</si>
  <si>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</si>
  <si>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</si>
  <si>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</si>
  <si>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</si>
  <si>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</si>
  <si>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</si>
  <si>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</si>
  <si>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</si>
  <si>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</si>
  <si>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</si>
  <si>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</si>
  <si>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</si>
  <si>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</si>
  <si>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</si>
  <si>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</si>
  <si>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</si>
  <si>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</si>
  <si>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</si>
  <si>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</si>
  <si>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</si>
  <si>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</si>
  <si>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</si>
  <si>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</si>
  <si>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</si>
  <si>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</si>
  <si>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</si>
  <si>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</si>
  <si>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</si>
  <si>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</si>
  <si>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</si>
  <si>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</si>
  <si>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</si>
  <si>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</si>
  <si>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</si>
  <si>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</si>
  <si>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</si>
  <si>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</si>
  <si>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</si>
  <si>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</si>
  <si>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</si>
  <si>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</si>
  <si>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</si>
  <si>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</si>
  <si>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</si>
  <si>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</si>
  <si>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</si>
  <si>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</si>
  <si>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</si>
  <si>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</si>
  <si>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</si>
  <si>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</si>
  <si>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</si>
  <si>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</si>
  <si>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</si>
  <si>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</si>
  <si>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</si>
  <si>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</si>
  <si>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</si>
  <si>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</si>
  <si>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</si>
  <si>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</si>
  <si>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</si>
  <si>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</si>
  <si>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</si>
  <si>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</si>
  <si>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</si>
  <si>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</si>
  <si>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</si>
  <si>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</si>
  <si>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</si>
  <si>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</si>
  <si>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</si>
  <si>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</si>
  <si>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</si>
  <si>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</si>
  <si>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</si>
  <si>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</si>
  <si>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</si>
  <si>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</si>
  <si>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</si>
  <si>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</si>
  <si>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</si>
  <si>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</si>
  <si>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</si>
  <si>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</si>
  <si>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</si>
  <si>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</si>
  <si>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</si>
  <si>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</si>
  <si>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</si>
  <si>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</si>
  <si>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</si>
  <si>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</si>
  <si>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</si>
  <si>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</si>
  <si>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</si>
  <si>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</si>
  <si>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</si>
  <si>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</si>
  <si>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</si>
  <si>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</si>
  <si>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</si>
  <si>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</si>
  <si>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</si>
  <si>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</si>
  <si>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</si>
  <si>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</si>
  <si>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</si>
  <si>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</si>
  <si>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</si>
  <si>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</si>
  <si>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</si>
  <si>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</si>
  <si>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</si>
  <si>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</si>
  <si>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</si>
  <si>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</si>
  <si>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</si>
  <si>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</si>
  <si>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</si>
  <si>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</si>
  <si>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</si>
  <si>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</si>
  <si>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</si>
  <si>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</si>
  <si>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</si>
  <si>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</si>
  <si>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</si>
  <si>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</si>
  <si>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</si>
  <si>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</si>
  <si>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</si>
  <si>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</si>
  <si>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</si>
  <si>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</si>
  <si>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</si>
  <si>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</si>
  <si>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</si>
  <si>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</si>
  <si>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</si>
  <si>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</si>
  <si>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</si>
  <si>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</si>
  <si>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</si>
  <si>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</si>
  <si>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</si>
  <si>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</si>
  <si>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</si>
  <si>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</si>
  <si>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</si>
  <si>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</si>
  <si>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</si>
  <si>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</si>
  <si>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</si>
  <si>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</si>
  <si>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</si>
  <si>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</si>
  <si>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</si>
  <si>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</si>
  <si>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</si>
  <si>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</si>
  <si>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</si>
  <si>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</si>
  <si>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</si>
  <si>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</si>
  <si>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</si>
  <si>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</si>
  <si>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</si>
  <si>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</si>
  <si>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</si>
  <si>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</si>
  <si>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</si>
  <si>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</si>
  <si>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</si>
  <si>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</si>
  <si>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</si>
  <si>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</si>
  <si>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</si>
  <si>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</si>
  <si>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</si>
  <si>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</si>
  <si>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</si>
  <si>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</si>
  <si>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</si>
  <si>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</si>
  <si>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</si>
  <si>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</si>
  <si>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</si>
  <si>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</si>
  <si>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</si>
  <si>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</si>
  <si>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</si>
  <si>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</si>
  <si>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</si>
  <si>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</si>
  <si>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</si>
  <si>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</si>
  <si>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</si>
  <si>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</si>
  <si>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</si>
  <si>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</si>
  <si>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</si>
  <si>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</si>
  <si>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</si>
  <si>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</si>
  <si>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</si>
  <si>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</si>
  <si>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</si>
  <si>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</si>
  <si>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</si>
  <si>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</si>
  <si>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</si>
  <si>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</si>
  <si>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</si>
  <si>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</si>
  <si>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</si>
  <si>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</si>
  <si>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</si>
  <si>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</si>
  <si>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</si>
  <si>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</si>
  <si>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</si>
  <si>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</si>
  <si>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</si>
  <si>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</si>
  <si>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</si>
  <si>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</si>
  <si>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</si>
  <si>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</si>
  <si>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</si>
  <si>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</si>
  <si>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</si>
  <si>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</si>
  <si>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</si>
  <si>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</si>
  <si>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</si>
  <si>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</si>
  <si>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</si>
  <si>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</si>
  <si>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</si>
  <si>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</si>
  <si>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</si>
  <si>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</si>
  <si>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</si>
  <si>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</si>
  <si>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</si>
  <si>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</si>
  <si>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</si>
  <si>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</si>
  <si>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</si>
  <si>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</si>
  <si>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</si>
  <si>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</si>
  <si>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</si>
  <si>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</si>
  <si>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</si>
  <si>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</si>
  <si>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</si>
  <si>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</si>
  <si>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</si>
  <si>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</si>
  <si>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</si>
  <si>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</si>
  <si>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</si>
  <si>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</si>
  <si>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</si>
  <si>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</si>
  <si>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</si>
  <si>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</si>
  <si>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</si>
  <si>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</si>
  <si>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</si>
  <si>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</si>
  <si>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</si>
  <si>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</si>
  <si>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</si>
  <si>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</si>
  <si>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</si>
  <si>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</si>
  <si>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</si>
  <si>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</si>
  <si>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</si>
  <si>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</si>
  <si>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</si>
  <si>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</si>
  <si>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</si>
  <si>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</si>
  <si>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</si>
  <si>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</si>
  <si>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</si>
  <si>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</si>
  <si>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</si>
  <si>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</si>
  <si>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</si>
  <si>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</si>
  <si>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</si>
  <si>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</si>
  <si>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</si>
  <si>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</si>
  <si>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</si>
  <si>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</si>
  <si>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</si>
  <si>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</si>
  <si>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</si>
  <si>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</si>
  <si>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</si>
  <si>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</si>
  <si>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</si>
  <si>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</si>
  <si>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</si>
  <si>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</si>
  <si>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</si>
  <si>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</si>
  <si>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</si>
  <si>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</si>
  <si>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</si>
  <si>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</si>
  <si>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</si>
  <si>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</si>
  <si>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</si>
  <si>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</si>
  <si>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</si>
  <si>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</si>
  <si>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</si>
  <si>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</si>
  <si>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</si>
  <si>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</si>
  <si>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</si>
  <si>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</si>
  <si>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</si>
  <si>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</si>
  <si>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</si>
  <si>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</si>
  <si>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</si>
  <si>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</si>
  <si>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</si>
  <si>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</si>
  <si>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</si>
  <si>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</si>
  <si>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</si>
  <si>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</si>
  <si>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</si>
  <si>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</si>
  <si>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</si>
  <si>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</si>
  <si>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</si>
  <si>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</si>
  <si>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</si>
  <si>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</si>
  <si>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</si>
  <si>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</si>
  <si>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</si>
  <si>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</si>
  <si>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</si>
  <si>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</si>
  <si>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</si>
  <si>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</si>
  <si>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</si>
  <si>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</si>
  <si>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</si>
  <si>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</si>
  <si>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</si>
  <si>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</si>
  <si>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</si>
  <si>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</si>
  <si>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</si>
  <si>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</si>
  <si>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</si>
  <si>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</si>
  <si>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</si>
  <si>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</si>
  <si>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</si>
  <si>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</si>
  <si>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</si>
  <si>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</si>
  <si>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</si>
  <si>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</si>
  <si>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</si>
  <si>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</si>
  <si>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</si>
  <si>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</si>
  <si>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</si>
  <si>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</si>
  <si>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</si>
  <si>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</si>
  <si>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</si>
  <si>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</si>
  <si>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</si>
  <si>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</si>
  <si>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</si>
  <si>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</si>
  <si>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</si>
  <si>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</si>
  <si>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</si>
  <si>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</si>
  <si>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</si>
  <si>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</si>
  <si>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</si>
  <si>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</si>
  <si>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</si>
  <si>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</si>
  <si>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</si>
  <si>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</si>
  <si>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</si>
  <si>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</si>
  <si>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</si>
  <si>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</si>
  <si>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</si>
  <si>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</si>
  <si>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</si>
  <si>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</si>
  <si>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</si>
  <si>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</si>
  <si>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</si>
  <si>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</si>
  <si>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</si>
  <si>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</si>
  <si>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</si>
  <si>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</si>
  <si>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</si>
  <si>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</si>
  <si>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</si>
  <si>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</si>
  <si>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</si>
  <si>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</si>
  <si>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</si>
  <si>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</si>
  <si>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</si>
  <si>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</si>
  <si>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</si>
  <si>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</si>
  <si>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</si>
  <si>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</si>
  <si>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</si>
  <si>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</si>
  <si>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</si>
  <si>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</si>
  <si>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</si>
  <si>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</si>
  <si>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</si>
  <si>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</si>
  <si>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</si>
  <si>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</si>
  <si>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</si>
  <si>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</si>
  <si>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</si>
  <si>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</si>
  <si>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</si>
  <si>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</si>
  <si>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</si>
  <si>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</si>
  <si>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</si>
  <si>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</si>
  <si>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</si>
  <si>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</si>
  <si>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</si>
  <si>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</si>
  <si>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</si>
  <si>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</si>
  <si>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</si>
  <si>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</si>
  <si>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</si>
  <si>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</si>
  <si>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</si>
  <si>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</si>
  <si>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</si>
  <si>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</si>
  <si>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</si>
  <si>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</si>
  <si>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</si>
  <si>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</si>
  <si>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</si>
  <si>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</si>
  <si>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</si>
  <si>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</si>
  <si>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</si>
  <si>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</si>
  <si>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</si>
  <si>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</si>
  <si>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</si>
  <si>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</si>
  <si>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</si>
  <si>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</si>
  <si>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</si>
  <si>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</si>
  <si>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</si>
  <si>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</si>
  <si>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</si>
  <si>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</si>
  <si>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</si>
  <si>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</si>
  <si>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</si>
  <si>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</si>
  <si>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</si>
  <si>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</si>
  <si>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</si>
  <si>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</si>
  <si>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</si>
  <si>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</si>
  <si>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</si>
  <si>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</si>
  <si>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</si>
  <si>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</si>
  <si>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</si>
  <si>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</si>
  <si>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</si>
  <si>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</si>
  <si>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</si>
  <si>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</si>
  <si>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</si>
  <si>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</si>
  <si>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</si>
  <si>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</si>
  <si>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</si>
  <si>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</si>
  <si>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</si>
  <si>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</si>
  <si>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</si>
  <si>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</si>
  <si>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</si>
  <si>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</si>
  <si>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</si>
  <si>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</si>
  <si>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</si>
  <si>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</si>
  <si>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</si>
  <si>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</si>
  <si>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</si>
  <si>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</si>
  <si>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</si>
  <si>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</si>
  <si>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</si>
  <si>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</si>
  <si>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</si>
  <si>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</si>
  <si>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</si>
  <si>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</si>
  <si>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</si>
  <si>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</si>
  <si>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</si>
  <si>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</si>
  <si>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</si>
  <si>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</si>
  <si>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</si>
  <si>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</si>
  <si>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</si>
  <si>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</si>
  <si>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</si>
  <si>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</si>
  <si>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</si>
  <si>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</si>
  <si>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</si>
  <si>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</si>
  <si>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</si>
  <si>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</si>
  <si>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</si>
  <si>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</si>
  <si>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</si>
  <si>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</si>
  <si>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</si>
  <si>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</si>
  <si>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</si>
  <si>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</si>
  <si>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</si>
  <si>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</si>
  <si>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</si>
  <si>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</si>
  <si>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</si>
  <si>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</si>
  <si>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</si>
  <si>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</si>
  <si>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</si>
  <si>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</si>
  <si>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</si>
  <si>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</si>
  <si>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</si>
  <si>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</si>
  <si>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</si>
  <si>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</si>
  <si>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</si>
  <si>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</si>
  <si>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</si>
  <si>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</si>
  <si>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</si>
  <si>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</si>
  <si>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</si>
  <si>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</si>
  <si>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</si>
  <si>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</si>
  <si>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</si>
  <si>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</si>
  <si>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</si>
  <si>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</si>
  <si>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</si>
  <si>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</si>
  <si>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</si>
  <si>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</si>
  <si>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</si>
  <si>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</si>
  <si>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</si>
  <si>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</si>
  <si>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</si>
  <si>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</si>
  <si>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</si>
  <si>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</si>
  <si>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</si>
  <si>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</si>
  <si>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</si>
  <si>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</si>
  <si>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</si>
  <si>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</si>
  <si>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</si>
  <si>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</si>
  <si>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</si>
  <si>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</si>
  <si>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</si>
  <si>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</si>
  <si>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</si>
  <si>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</si>
  <si>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PELHAM SCHOOL DISTRICT, SAU28</t>
  </si>
  <si>
    <t>INDIRECT COST SHEET IS NOT COMPLETED -DISTRICT WILL NOT BE USING INDIRECT COST CALCULATION</t>
  </si>
  <si>
    <t>ADA MODIF FUND</t>
  </si>
  <si>
    <t>Adjustment to beginning balance -trust accounts</t>
  </si>
  <si>
    <t>4/2014</t>
  </si>
  <si>
    <t>7/2019</t>
  </si>
  <si>
    <t>7/2014</t>
  </si>
  <si>
    <t>8/2034</t>
  </si>
  <si>
    <t>7/2018</t>
  </si>
  <si>
    <t>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</si>
</sst>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5" zoomScaleNormal="115" workbookViewId="0">
      <pane xSplit="5" ySplit="3" topLeftCell="F641" activePane="bottomRight" state="frozen"/>
      <selection pane="topRight" activeCell="F1" sqref="F1"/>
      <selection pane="bottomLeft" activeCell="A4" sqref="A4"/>
      <selection pane="bottomRight" activeCell="K671" sqref="K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425</v>
      </c>
      <c r="C2" s="21">
        <v>425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2103462.69</v>
      </c>
      <c r="G9" s="18">
        <v>251692.36</v>
      </c>
      <c r="H9" s="18">
        <v>86275.92</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111894.32</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7519.63</v>
      </c>
      <c r="G13" s="18">
        <v>6307.38</v>
      </c>
      <c r="H13" s="18">
        <v>116019.94</v>
      </c>
      <c r="I13" s="18"/>
      <c r="J13" s="67">
        <f>SUM(I442)</f>
        <v>515352.67</v>
      </c>
      <c r="K13" s="24" t="s">
        <v>288</v>
      </c>
      <c r="L13" s="24" t="s">
        <v>288</v>
      </c>
      <c r="M13" s="8"/>
      <c r="N13" s="266"/>
    </row>
    <row r="14" spans="1:14" s="3" customFormat="1" ht="12.2" customHeight="1" x14ac:dyDescent="0.15">
      <c r="A14" s="1" t="s">
        <v>565</v>
      </c>
      <c r="B14" s="2" t="s">
        <v>289</v>
      </c>
      <c r="C14" s="6">
        <v>6</v>
      </c>
      <c r="D14" s="2" t="s">
        <v>428</v>
      </c>
      <c r="E14" s="6">
        <v>150</v>
      </c>
      <c r="F14" s="18">
        <v>13923.35</v>
      </c>
      <c r="G14" s="18">
        <v>154.69</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8260.1299999999992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75670.61</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2320730.7299999995</v>
      </c>
      <c r="G19" s="41">
        <f>SUM(G9:G18)</f>
        <v>258154.43</v>
      </c>
      <c r="H19" s="41">
        <f>SUM(H9:H18)</f>
        <v>202295.86</v>
      </c>
      <c r="I19" s="41">
        <f>SUM(I9:I18)</f>
        <v>0</v>
      </c>
      <c r="J19" s="41">
        <f>SUM(J9:J18)</f>
        <v>515352.67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-4125.62</v>
      </c>
      <c r="H22" s="18">
        <v>116019.94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2222</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58625.35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481996.75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161970.92000000001</v>
      </c>
      <c r="G30" s="18">
        <v>20091.25</v>
      </c>
      <c r="H30" s="18">
        <v>86275.92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704815.02</v>
      </c>
      <c r="G32" s="41">
        <f>SUM(G22:G31)</f>
        <v>15965.630000000001</v>
      </c>
      <c r="H32" s="41">
        <f>SUM(H22:H31)</f>
        <v>202295.86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8410.74</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242188.79999999999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75520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c r="H48" s="18"/>
      <c r="I48" s="18"/>
      <c r="J48" s="13">
        <f>SUM(I459)</f>
        <v>515352.67</v>
      </c>
      <c r="K48" s="24" t="s">
        <v>288</v>
      </c>
      <c r="L48" s="24" t="s">
        <v>288</v>
      </c>
      <c r="M48" s="8"/>
      <c r="N48" s="266"/>
    </row>
    <row r="49" spans="1:14" s="3" customFormat="1" ht="12.2" customHeight="1" x14ac:dyDescent="0.15">
      <c r="A49" s="1" t="s">
        <v>859</v>
      </c>
      <c r="B49" s="2" t="s">
        <v>289</v>
      </c>
      <c r="C49" s="6">
        <v>34</v>
      </c>
      <c r="D49" s="2"/>
      <c r="E49" s="6">
        <v>753</v>
      </c>
      <c r="F49" s="18">
        <v>270460.81</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1261524.1599999999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1615915.71</v>
      </c>
      <c r="G51" s="41">
        <f>SUM(G35:G50)</f>
        <v>242188.79999999999</v>
      </c>
      <c r="H51" s="41">
        <f>SUM(H35:H50)</f>
        <v>0</v>
      </c>
      <c r="I51" s="41">
        <f>SUM(I35:I50)</f>
        <v>0</v>
      </c>
      <c r="J51" s="41">
        <f>SUM(J35:J50)</f>
        <v>515352.67</v>
      </c>
      <c r="K51" s="45" t="s">
        <v>288</v>
      </c>
      <c r="L51" s="45" t="s">
        <v>288</v>
      </c>
      <c r="N51" s="264"/>
    </row>
    <row r="52" spans="1:14" s="3" customFormat="1" ht="12.2" customHeight="1" thickTop="1" x14ac:dyDescent="0.15">
      <c r="A52" s="38" t="s">
        <v>455</v>
      </c>
      <c r="B52" s="39" t="s">
        <v>289</v>
      </c>
      <c r="C52" s="6">
        <v>37</v>
      </c>
      <c r="D52" s="39" t="s">
        <v>653</v>
      </c>
      <c r="E52" s="39"/>
      <c r="F52" s="41">
        <f>F51+F32</f>
        <v>2320730.73</v>
      </c>
      <c r="G52" s="41">
        <f>G51+G32</f>
        <v>258154.43</v>
      </c>
      <c r="H52" s="41">
        <f>H51+H32</f>
        <v>202295.86</v>
      </c>
      <c r="I52" s="41">
        <f>I51+I32</f>
        <v>0</v>
      </c>
      <c r="J52" s="41">
        <f>J51+J32</f>
        <v>515352.67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20557888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20557888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49700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12240.07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61940.07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669.26</v>
      </c>
      <c r="G96" s="18"/>
      <c r="H96" s="18"/>
      <c r="I96" s="18"/>
      <c r="J96" s="18">
        <v>24134.2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672103.12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18560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1080.82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72402.45</v>
      </c>
      <c r="G110" s="18">
        <v>1500</v>
      </c>
      <c r="H110" s="18">
        <v>8147.14</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91631.709999999992</v>
      </c>
      <c r="G111" s="41">
        <f>SUM(G96:G110)</f>
        <v>673603.12</v>
      </c>
      <c r="H111" s="41">
        <f>SUM(H96:H110)</f>
        <v>9227.9600000000009</v>
      </c>
      <c r="I111" s="41">
        <f>SUM(I96:I110)</f>
        <v>0</v>
      </c>
      <c r="J111" s="41">
        <f>SUM(J96:J110)</f>
        <v>24134.2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20711459.780000001</v>
      </c>
      <c r="G112" s="41">
        <f>G60+G111</f>
        <v>673603.12</v>
      </c>
      <c r="H112" s="41">
        <f>H60+H79+H94+H111</f>
        <v>9227.9600000000009</v>
      </c>
      <c r="I112" s="41">
        <f>I60+I111</f>
        <v>0</v>
      </c>
      <c r="J112" s="41">
        <f>J60+J111</f>
        <v>24134.2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4166850.35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3585223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8017.23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7760090.5800000001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375552.24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19067.599999999999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10507.75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49373.599999999999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443993.43999999994</v>
      </c>
      <c r="G136" s="41">
        <f>SUM(G123:G135)</f>
        <v>10507.75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8204084.0199999996</v>
      </c>
      <c r="G140" s="41">
        <f>G121+SUM(G136:G137)</f>
        <v>10507.75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150442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54023.17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176339.94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414228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90604.77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90604.77</v>
      </c>
      <c r="G162" s="41">
        <f>SUM(G150:G161)</f>
        <v>176339.94</v>
      </c>
      <c r="H162" s="41">
        <f>SUM(H150:H161)</f>
        <v>618693.16999999993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90604.77</v>
      </c>
      <c r="G169" s="41">
        <f>G147+G162+SUM(G163:G168)</f>
        <v>176339.94</v>
      </c>
      <c r="H169" s="41">
        <f>H147+H162+SUM(H163:H168)</f>
        <v>618693.16999999993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29006148.57</v>
      </c>
      <c r="G193" s="47">
        <f>G112+G140+G169+G192</f>
        <v>860450.81</v>
      </c>
      <c r="H193" s="47">
        <f>H112+H140+H169+H192</f>
        <v>627921.12999999989</v>
      </c>
      <c r="I193" s="47">
        <f>I112+I140+I169+I192</f>
        <v>0</v>
      </c>
      <c r="J193" s="47">
        <f>J112+J140+J192</f>
        <v>24134.2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3779843.6127999998</v>
      </c>
      <c r="G197" s="18">
        <v>1977107.6059999999</v>
      </c>
      <c r="H197" s="18">
        <v>57518</v>
      </c>
      <c r="I197" s="18">
        <v>225279.43460000004</v>
      </c>
      <c r="J197" s="18">
        <v>112030.39999999999</v>
      </c>
      <c r="K197" s="18">
        <v>6282.74</v>
      </c>
      <c r="L197" s="19">
        <f>SUM(F197:K197)</f>
        <v>6158061.7934000008</v>
      </c>
      <c r="M197" s="8"/>
      <c r="N197" s="266"/>
    </row>
    <row r="198" spans="1:14" s="3" customFormat="1" ht="12.2" customHeight="1" x14ac:dyDescent="0.15">
      <c r="A198" s="1" t="s">
        <v>439</v>
      </c>
      <c r="B198" s="2" t="s">
        <v>341</v>
      </c>
      <c r="C198" s="2" t="s">
        <v>291</v>
      </c>
      <c r="D198" s="2" t="s">
        <v>431</v>
      </c>
      <c r="E198" s="6">
        <v>1200</v>
      </c>
      <c r="F198" s="18">
        <v>1847866.7941699999</v>
      </c>
      <c r="G198" s="18">
        <v>654145.90654</v>
      </c>
      <c r="H198" s="18">
        <v>983571.17041999986</v>
      </c>
      <c r="I198" s="18">
        <v>15644.941420000001</v>
      </c>
      <c r="J198" s="18">
        <v>20814.599210000004</v>
      </c>
      <c r="K198" s="18">
        <v>6774.5163899999998</v>
      </c>
      <c r="L198" s="19">
        <f>SUM(F198:K198)</f>
        <v>3528817.9281500001</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-12.2</v>
      </c>
      <c r="J199" s="18">
        <v>0</v>
      </c>
      <c r="K199" s="18">
        <v>0</v>
      </c>
      <c r="L199" s="19">
        <f>SUM(F199:K199)</f>
        <v>-12.2</v>
      </c>
      <c r="M199" s="8"/>
      <c r="N199" s="266"/>
    </row>
    <row r="200" spans="1:14" s="3" customFormat="1" ht="12.2" customHeight="1" x14ac:dyDescent="0.15">
      <c r="A200" s="1" t="s">
        <v>441</v>
      </c>
      <c r="B200" s="2" t="s">
        <v>341</v>
      </c>
      <c r="C200" s="2" t="s">
        <v>293</v>
      </c>
      <c r="D200" s="2" t="s">
        <v>431</v>
      </c>
      <c r="E200" s="6">
        <v>1400</v>
      </c>
      <c r="F200" s="18">
        <v>79612.399999999994</v>
      </c>
      <c r="G200" s="18">
        <v>21319.89</v>
      </c>
      <c r="H200" s="18">
        <v>5300</v>
      </c>
      <c r="I200" s="18">
        <v>7563.89</v>
      </c>
      <c r="J200" s="18">
        <v>0</v>
      </c>
      <c r="K200" s="18">
        <v>2662</v>
      </c>
      <c r="L200" s="19">
        <f>SUM(F200:K200)</f>
        <v>116458.18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861648.5662</v>
      </c>
      <c r="G202" s="18">
        <v>359699.81819999998</v>
      </c>
      <c r="H202" s="18">
        <v>244482.56359999999</v>
      </c>
      <c r="I202" s="18">
        <v>15718.021400000001</v>
      </c>
      <c r="J202" s="18">
        <v>2568.2600000000002</v>
      </c>
      <c r="K202" s="18">
        <v>947.07999999999993</v>
      </c>
      <c r="L202" s="19">
        <f t="shared" ref="L202:L208" si="0">SUM(F202:K202)</f>
        <v>1485064.3093999999</v>
      </c>
      <c r="M202" s="8"/>
      <c r="N202" s="266"/>
    </row>
    <row r="203" spans="1:14" s="3" customFormat="1" ht="12.2" customHeight="1" x14ac:dyDescent="0.15">
      <c r="A203" s="1" t="s">
        <v>443</v>
      </c>
      <c r="B203" s="2" t="s">
        <v>341</v>
      </c>
      <c r="C203" s="2" t="s">
        <v>295</v>
      </c>
      <c r="D203" s="2" t="s">
        <v>431</v>
      </c>
      <c r="E203" s="6">
        <v>2200</v>
      </c>
      <c r="F203" s="18">
        <v>272947.77239999996</v>
      </c>
      <c r="G203" s="18">
        <v>156718.34880000001</v>
      </c>
      <c r="H203" s="18">
        <v>112520.21520000001</v>
      </c>
      <c r="I203" s="18">
        <v>22588.7022</v>
      </c>
      <c r="J203" s="18">
        <v>32115.230000000003</v>
      </c>
      <c r="K203" s="18">
        <v>4333.6858000000002</v>
      </c>
      <c r="L203" s="19">
        <f t="shared" si="0"/>
        <v>601223.95439999981</v>
      </c>
      <c r="M203" s="8"/>
      <c r="N203" s="266"/>
    </row>
    <row r="204" spans="1:14" s="3" customFormat="1" ht="12.2" customHeight="1" x14ac:dyDescent="0.15">
      <c r="A204" s="1" t="s">
        <v>444</v>
      </c>
      <c r="B204" s="2" t="s">
        <v>341</v>
      </c>
      <c r="C204" s="2" t="s">
        <v>296</v>
      </c>
      <c r="D204" s="2" t="s">
        <v>431</v>
      </c>
      <c r="E204" s="6">
        <v>2300</v>
      </c>
      <c r="F204" s="18">
        <v>300975.38013000001</v>
      </c>
      <c r="G204" s="18">
        <v>127175.80607999999</v>
      </c>
      <c r="H204" s="18">
        <v>60932.033309999999</v>
      </c>
      <c r="I204" s="18">
        <v>2372.81457</v>
      </c>
      <c r="J204" s="18">
        <v>3304.8440399999999</v>
      </c>
      <c r="K204" s="18">
        <v>13355.986800000001</v>
      </c>
      <c r="L204" s="19">
        <f t="shared" si="0"/>
        <v>508116.86493000004</v>
      </c>
      <c r="M204" s="8"/>
      <c r="N204" s="266"/>
    </row>
    <row r="205" spans="1:14" s="3" customFormat="1" ht="12.2" customHeight="1" x14ac:dyDescent="0.15">
      <c r="A205" s="1" t="s">
        <v>445</v>
      </c>
      <c r="B205" s="2" t="s">
        <v>341</v>
      </c>
      <c r="C205" s="2" t="s">
        <v>297</v>
      </c>
      <c r="D205" s="2" t="s">
        <v>431</v>
      </c>
      <c r="E205" s="6">
        <v>2400</v>
      </c>
      <c r="F205" s="18">
        <v>629357.11</v>
      </c>
      <c r="G205" s="18">
        <v>314258.55</v>
      </c>
      <c r="H205" s="18">
        <v>69726.179999999993</v>
      </c>
      <c r="I205" s="18">
        <v>4888.92</v>
      </c>
      <c r="J205" s="18">
        <v>769.49</v>
      </c>
      <c r="K205" s="18">
        <v>4553.6000000000004</v>
      </c>
      <c r="L205" s="19">
        <f t="shared" si="0"/>
        <v>1023553.8499999999</v>
      </c>
      <c r="M205" s="8"/>
      <c r="N205" s="266"/>
    </row>
    <row r="206" spans="1:14" s="3" customFormat="1" ht="12.2" customHeight="1" x14ac:dyDescent="0.15">
      <c r="A206" s="1" t="s">
        <v>446</v>
      </c>
      <c r="B206" s="2" t="s">
        <v>341</v>
      </c>
      <c r="C206" s="2" t="s">
        <v>298</v>
      </c>
      <c r="D206" s="2" t="s">
        <v>431</v>
      </c>
      <c r="E206" s="6">
        <v>2500</v>
      </c>
      <c r="F206" s="18">
        <v>139448.2782</v>
      </c>
      <c r="G206" s="18">
        <v>75970.474799999996</v>
      </c>
      <c r="H206" s="18">
        <v>35274.287400000001</v>
      </c>
      <c r="I206" s="18">
        <v>5541.4985999999999</v>
      </c>
      <c r="J206" s="18">
        <v>1020.1686</v>
      </c>
      <c r="K206" s="18">
        <v>4154.3172000000004</v>
      </c>
      <c r="L206" s="19">
        <f t="shared" si="0"/>
        <v>261409.02479999998</v>
      </c>
      <c r="M206" s="8"/>
      <c r="N206" s="266"/>
    </row>
    <row r="207" spans="1:14" s="3" customFormat="1" ht="12.2" customHeight="1" x14ac:dyDescent="0.15">
      <c r="A207" s="1" t="s">
        <v>447</v>
      </c>
      <c r="B207" s="2" t="s">
        <v>341</v>
      </c>
      <c r="C207" s="2" t="s">
        <v>299</v>
      </c>
      <c r="D207" s="2" t="s">
        <v>431</v>
      </c>
      <c r="E207" s="6">
        <v>2600</v>
      </c>
      <c r="F207" s="18">
        <v>415297.36005999998</v>
      </c>
      <c r="G207" s="18">
        <v>194284.78277999998</v>
      </c>
      <c r="H207" s="18">
        <v>314185.28247999999</v>
      </c>
      <c r="I207" s="18">
        <v>355165.2732</v>
      </c>
      <c r="J207" s="18">
        <v>81083.521999999983</v>
      </c>
      <c r="K207" s="18">
        <v>268.05</v>
      </c>
      <c r="L207" s="19">
        <f t="shared" si="0"/>
        <v>1360284.2705199998</v>
      </c>
      <c r="M207" s="8"/>
      <c r="N207" s="266"/>
    </row>
    <row r="208" spans="1:14" s="3" customFormat="1" ht="12.2" customHeight="1" x14ac:dyDescent="0.15">
      <c r="A208" s="1" t="s">
        <v>448</v>
      </c>
      <c r="B208" s="2" t="s">
        <v>341</v>
      </c>
      <c r="C208" s="2" t="s">
        <v>300</v>
      </c>
      <c r="D208" s="2" t="s">
        <v>431</v>
      </c>
      <c r="E208" s="6">
        <v>2700</v>
      </c>
      <c r="F208" s="18">
        <v>0</v>
      </c>
      <c r="G208" s="18">
        <v>0</v>
      </c>
      <c r="H208" s="18">
        <v>998169.59904</v>
      </c>
      <c r="I208" s="18">
        <v>0</v>
      </c>
      <c r="J208" s="18">
        <v>0</v>
      </c>
      <c r="K208" s="18">
        <v>0</v>
      </c>
      <c r="L208" s="19">
        <f t="shared" si="0"/>
        <v>998169.59904</v>
      </c>
      <c r="M208" s="8"/>
      <c r="N208" s="266"/>
    </row>
    <row r="209" spans="1:14" s="3" customFormat="1" ht="12.2" customHeight="1" x14ac:dyDescent="0.15">
      <c r="A209" s="1" t="s">
        <v>449</v>
      </c>
      <c r="B209" s="2" t="s">
        <v>341</v>
      </c>
      <c r="C209" s="2" t="s">
        <v>343</v>
      </c>
      <c r="D209" s="2" t="s">
        <v>431</v>
      </c>
      <c r="E209" s="6">
        <v>2800</v>
      </c>
      <c r="F209" s="18">
        <v>238075.63559999998</v>
      </c>
      <c r="G209" s="18">
        <v>152834.253</v>
      </c>
      <c r="H209" s="18">
        <v>95814.859800000006</v>
      </c>
      <c r="I209" s="18">
        <v>58779.052200000006</v>
      </c>
      <c r="J209" s="18">
        <v>130831.14000000001</v>
      </c>
      <c r="K209" s="18">
        <v>435.33600000000001</v>
      </c>
      <c r="L209" s="19">
        <f>SUM(F209:K209)</f>
        <v>676770.27659999998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8565072.9095600005</v>
      </c>
      <c r="G211" s="41">
        <f t="shared" si="1"/>
        <v>4033515.4361999999</v>
      </c>
      <c r="H211" s="41">
        <f t="shared" si="1"/>
        <v>2977494.1912500001</v>
      </c>
      <c r="I211" s="41">
        <f t="shared" si="1"/>
        <v>713530.34819000005</v>
      </c>
      <c r="J211" s="41">
        <f t="shared" si="1"/>
        <v>384537.65385</v>
      </c>
      <c r="K211" s="41">
        <f t="shared" si="1"/>
        <v>43767.312189999997</v>
      </c>
      <c r="L211" s="41">
        <f t="shared" si="1"/>
        <v>16717917.85124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0</v>
      </c>
      <c r="G215" s="18">
        <v>0</v>
      </c>
      <c r="H215" s="18">
        <v>0</v>
      </c>
      <c r="I215" s="18">
        <v>0</v>
      </c>
      <c r="J215" s="18">
        <v>0</v>
      </c>
      <c r="K215" s="18">
        <v>0</v>
      </c>
      <c r="L215" s="19">
        <f>SUM(F215:K215)</f>
        <v>0</v>
      </c>
      <c r="M215" s="8"/>
      <c r="N215" s="266"/>
    </row>
    <row r="216" spans="1:14" s="3" customFormat="1" ht="12.2" customHeight="1" x14ac:dyDescent="0.15">
      <c r="A216" s="1" t="s">
        <v>439</v>
      </c>
      <c r="B216" s="2" t="s">
        <v>346</v>
      </c>
      <c r="C216" s="2" t="s">
        <v>291</v>
      </c>
      <c r="D216" s="2" t="s">
        <v>431</v>
      </c>
      <c r="E216" s="6">
        <v>1200</v>
      </c>
      <c r="F216" s="18">
        <v>0</v>
      </c>
      <c r="G216" s="18">
        <v>0</v>
      </c>
      <c r="H216" s="18">
        <v>0</v>
      </c>
      <c r="I216" s="18">
        <v>0</v>
      </c>
      <c r="J216" s="18">
        <v>0</v>
      </c>
      <c r="K216" s="18">
        <v>0</v>
      </c>
      <c r="L216" s="19">
        <f>SUM(F216:K216)</f>
        <v>0</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0</v>
      </c>
      <c r="G220" s="18">
        <v>0</v>
      </c>
      <c r="H220" s="18">
        <v>0</v>
      </c>
      <c r="I220" s="18">
        <v>0</v>
      </c>
      <c r="J220" s="18">
        <v>0</v>
      </c>
      <c r="K220" s="18">
        <v>0</v>
      </c>
      <c r="L220" s="19">
        <f t="shared" ref="L220:L226" si="2">SUM(F220:K220)</f>
        <v>0</v>
      </c>
      <c r="M220" s="8"/>
      <c r="N220" s="266"/>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6"/>
    </row>
    <row r="222" spans="1:14" s="3" customFormat="1" ht="12.2" customHeight="1" x14ac:dyDescent="0.15">
      <c r="A222" s="1" t="s">
        <v>444</v>
      </c>
      <c r="B222" s="2" t="s">
        <v>346</v>
      </c>
      <c r="C222" s="2" t="s">
        <v>296</v>
      </c>
      <c r="D222" s="2" t="s">
        <v>431</v>
      </c>
      <c r="E222" s="6">
        <v>2300</v>
      </c>
      <c r="F222" s="18">
        <v>0</v>
      </c>
      <c r="G222" s="18">
        <v>0</v>
      </c>
      <c r="H222" s="18">
        <v>0</v>
      </c>
      <c r="I222" s="18">
        <v>0</v>
      </c>
      <c r="J222" s="18">
        <v>0</v>
      </c>
      <c r="K222" s="18">
        <v>0</v>
      </c>
      <c r="L222" s="19">
        <f t="shared" si="2"/>
        <v>0</v>
      </c>
      <c r="M222" s="8"/>
      <c r="N222" s="266"/>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6"/>
    </row>
    <row r="226" spans="1:14" s="3" customFormat="1" ht="12.2" customHeight="1" x14ac:dyDescent="0.15">
      <c r="A226" s="1" t="s">
        <v>448</v>
      </c>
      <c r="B226" s="2" t="s">
        <v>346</v>
      </c>
      <c r="C226" s="2" t="s">
        <v>300</v>
      </c>
      <c r="D226" s="2" t="s">
        <v>431</v>
      </c>
      <c r="E226" s="6">
        <v>2700</v>
      </c>
      <c r="F226" s="18">
        <v>0</v>
      </c>
      <c r="G226" s="18">
        <v>0</v>
      </c>
      <c r="H226" s="18">
        <v>0</v>
      </c>
      <c r="I226" s="18">
        <v>0</v>
      </c>
      <c r="J226" s="18">
        <v>0</v>
      </c>
      <c r="K226" s="18">
        <v>0</v>
      </c>
      <c r="L226" s="19">
        <f t="shared" si="2"/>
        <v>0</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2575247.6971999998</v>
      </c>
      <c r="G233" s="18">
        <v>1247673.1340000001</v>
      </c>
      <c r="H233" s="18">
        <v>20543.46</v>
      </c>
      <c r="I233" s="18">
        <v>132404.04539999997</v>
      </c>
      <c r="J233" s="18">
        <v>45352.91</v>
      </c>
      <c r="K233" s="18">
        <v>0</v>
      </c>
      <c r="L233" s="19">
        <f>SUM(F233:K233)</f>
        <v>4021221.2466000002</v>
      </c>
      <c r="M233" s="8"/>
      <c r="N233" s="266"/>
    </row>
    <row r="234" spans="1:14" s="3" customFormat="1" ht="12.2" customHeight="1" x14ac:dyDescent="0.15">
      <c r="A234" s="1" t="s">
        <v>439</v>
      </c>
      <c r="B234" s="2" t="s">
        <v>350</v>
      </c>
      <c r="C234" s="2" t="s">
        <v>291</v>
      </c>
      <c r="D234" s="2" t="s">
        <v>431</v>
      </c>
      <c r="E234" s="6">
        <v>1200</v>
      </c>
      <c r="F234" s="18">
        <v>761798.68582999997</v>
      </c>
      <c r="G234" s="18">
        <v>269024.38345999998</v>
      </c>
      <c r="H234" s="18">
        <v>423949.09958000004</v>
      </c>
      <c r="I234" s="18">
        <v>7231.0885800000005</v>
      </c>
      <c r="J234" s="18">
        <v>5115.5607899999995</v>
      </c>
      <c r="K234" s="18">
        <v>2682.0936099999999</v>
      </c>
      <c r="L234" s="19">
        <f>SUM(F234:K234)</f>
        <v>1469800.9118500003</v>
      </c>
      <c r="M234" s="8"/>
      <c r="N234" s="266"/>
    </row>
    <row r="235" spans="1:14" s="3" customFormat="1" ht="12.2" customHeight="1" x14ac:dyDescent="0.15">
      <c r="A235" s="1" t="s">
        <v>440</v>
      </c>
      <c r="B235" s="2" t="s">
        <v>350</v>
      </c>
      <c r="C235" s="2" t="s">
        <v>292</v>
      </c>
      <c r="D235" s="2" t="s">
        <v>431</v>
      </c>
      <c r="E235" s="6">
        <v>1300</v>
      </c>
      <c r="F235" s="18">
        <v>0</v>
      </c>
      <c r="G235" s="18">
        <v>0</v>
      </c>
      <c r="H235" s="18">
        <v>42444.01</v>
      </c>
      <c r="I235" s="18">
        <v>0</v>
      </c>
      <c r="J235" s="18">
        <v>0</v>
      </c>
      <c r="K235" s="18">
        <v>0</v>
      </c>
      <c r="L235" s="19">
        <f>SUM(F235:K235)</f>
        <v>42444.01</v>
      </c>
      <c r="M235" s="8"/>
      <c r="N235" s="266"/>
    </row>
    <row r="236" spans="1:14" s="3" customFormat="1" ht="12.2" customHeight="1" x14ac:dyDescent="0.15">
      <c r="A236" s="1" t="s">
        <v>441</v>
      </c>
      <c r="B236" s="2" t="s">
        <v>350</v>
      </c>
      <c r="C236" s="2" t="s">
        <v>293</v>
      </c>
      <c r="D236" s="2" t="s">
        <v>431</v>
      </c>
      <c r="E236" s="6">
        <v>1400</v>
      </c>
      <c r="F236" s="18">
        <v>279747.01</v>
      </c>
      <c r="G236" s="18">
        <v>81737.81</v>
      </c>
      <c r="H236" s="18">
        <v>67426.47</v>
      </c>
      <c r="I236" s="18">
        <v>49054.93</v>
      </c>
      <c r="J236" s="18">
        <v>4098.9799999999996</v>
      </c>
      <c r="K236" s="18">
        <v>31581.52</v>
      </c>
      <c r="L236" s="19">
        <f>SUM(F236:K236)</f>
        <v>513646.72000000003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531274.75380000006</v>
      </c>
      <c r="G238" s="18">
        <v>311439.4718</v>
      </c>
      <c r="H238" s="18">
        <v>141787.4264</v>
      </c>
      <c r="I238" s="18">
        <v>19832.768599999999</v>
      </c>
      <c r="J238" s="18">
        <v>1839.32</v>
      </c>
      <c r="K238" s="18">
        <v>3255.7400000000002</v>
      </c>
      <c r="L238" s="19">
        <f t="shared" ref="L238:L244" si="4">SUM(F238:K238)</f>
        <v>1009429.4805999999</v>
      </c>
      <c r="M238" s="8"/>
      <c r="N238" s="266"/>
    </row>
    <row r="239" spans="1:14" s="3" customFormat="1" ht="12.2" customHeight="1" x14ac:dyDescent="0.15">
      <c r="A239" s="1" t="s">
        <v>443</v>
      </c>
      <c r="B239" s="2" t="s">
        <v>350</v>
      </c>
      <c r="C239" s="2" t="s">
        <v>295</v>
      </c>
      <c r="D239" s="2" t="s">
        <v>431</v>
      </c>
      <c r="E239" s="6">
        <v>2200</v>
      </c>
      <c r="F239" s="18">
        <v>125164.54760000001</v>
      </c>
      <c r="G239" s="18">
        <v>68089.741200000004</v>
      </c>
      <c r="H239" s="18">
        <v>57916.354800000001</v>
      </c>
      <c r="I239" s="18">
        <v>38114.427799999998</v>
      </c>
      <c r="J239" s="18">
        <v>5654.83</v>
      </c>
      <c r="K239" s="18">
        <v>1573.2242000000001</v>
      </c>
      <c r="L239" s="19">
        <f t="shared" si="4"/>
        <v>296513.12560000003</v>
      </c>
      <c r="M239" s="8"/>
      <c r="N239" s="266"/>
    </row>
    <row r="240" spans="1:14" s="3" customFormat="1" ht="12.2" customHeight="1" x14ac:dyDescent="0.15">
      <c r="A240" s="1" t="s">
        <v>444</v>
      </c>
      <c r="B240" s="2" t="s">
        <v>350</v>
      </c>
      <c r="C240" s="2" t="s">
        <v>296</v>
      </c>
      <c r="D240" s="2" t="s">
        <v>431</v>
      </c>
      <c r="E240" s="6">
        <v>2300</v>
      </c>
      <c r="F240" s="18">
        <v>141442.83987</v>
      </c>
      <c r="G240" s="18">
        <v>58968.923920000001</v>
      </c>
      <c r="H240" s="18">
        <v>31027.90669</v>
      </c>
      <c r="I240" s="18">
        <v>1209.73543</v>
      </c>
      <c r="J240" s="18">
        <v>1423.1159600000001</v>
      </c>
      <c r="K240" s="18">
        <v>6783.7431999999999</v>
      </c>
      <c r="L240" s="19">
        <f t="shared" si="4"/>
        <v>240856.26506999999</v>
      </c>
      <c r="M240" s="8"/>
      <c r="N240" s="266"/>
    </row>
    <row r="241" spans="1:14" s="3" customFormat="1" ht="12.2" customHeight="1" x14ac:dyDescent="0.15">
      <c r="A241" s="1" t="s">
        <v>445</v>
      </c>
      <c r="B241" s="2" t="s">
        <v>350</v>
      </c>
      <c r="C241" s="2" t="s">
        <v>297</v>
      </c>
      <c r="D241" s="2" t="s">
        <v>431</v>
      </c>
      <c r="E241" s="6">
        <v>2400</v>
      </c>
      <c r="F241" s="18">
        <v>299138.57</v>
      </c>
      <c r="G241" s="18">
        <v>156601.01999999999</v>
      </c>
      <c r="H241" s="18">
        <v>22483.32</v>
      </c>
      <c r="I241" s="18">
        <v>1109.43</v>
      </c>
      <c r="J241" s="18">
        <v>417</v>
      </c>
      <c r="K241" s="18">
        <v>18612.61</v>
      </c>
      <c r="L241" s="19">
        <f t="shared" si="4"/>
        <v>498361.94999999995</v>
      </c>
      <c r="M241" s="8"/>
      <c r="N241" s="266"/>
    </row>
    <row r="242" spans="1:14" s="3" customFormat="1" ht="12.2" customHeight="1" x14ac:dyDescent="0.15">
      <c r="A242" s="1" t="s">
        <v>446</v>
      </c>
      <c r="B242" s="2" t="s">
        <v>350</v>
      </c>
      <c r="C242" s="2" t="s">
        <v>298</v>
      </c>
      <c r="D242" s="2" t="s">
        <v>431</v>
      </c>
      <c r="E242" s="6">
        <v>2500</v>
      </c>
      <c r="F242" s="18">
        <v>71836.991800000003</v>
      </c>
      <c r="G242" s="18">
        <v>39136.305200000003</v>
      </c>
      <c r="H242" s="18">
        <v>18171.602599999998</v>
      </c>
      <c r="I242" s="18">
        <v>2854.7114000000001</v>
      </c>
      <c r="J242" s="18">
        <v>525.54139999999995</v>
      </c>
      <c r="K242" s="18">
        <v>2140.1028000000001</v>
      </c>
      <c r="L242" s="19">
        <f t="shared" si="4"/>
        <v>134665.25519999999</v>
      </c>
      <c r="M242" s="8"/>
      <c r="N242" s="266"/>
    </row>
    <row r="243" spans="1:14" s="3" customFormat="1" ht="12.2" customHeight="1" x14ac:dyDescent="0.15">
      <c r="A243" s="1" t="s">
        <v>447</v>
      </c>
      <c r="B243" s="2" t="s">
        <v>350</v>
      </c>
      <c r="C243" s="2" t="s">
        <v>299</v>
      </c>
      <c r="D243" s="2" t="s">
        <v>431</v>
      </c>
      <c r="E243" s="6">
        <v>2600</v>
      </c>
      <c r="F243" s="18">
        <v>259677.16993999999</v>
      </c>
      <c r="G243" s="18">
        <v>122178.59722</v>
      </c>
      <c r="H243" s="18">
        <v>213637.95752</v>
      </c>
      <c r="I243" s="18">
        <v>367775.52679999999</v>
      </c>
      <c r="J243" s="18">
        <v>2189.538</v>
      </c>
      <c r="K243" s="18">
        <v>94.95</v>
      </c>
      <c r="L243" s="19">
        <f t="shared" si="4"/>
        <v>965553.73947999987</v>
      </c>
      <c r="M243" s="8"/>
      <c r="N243" s="266"/>
    </row>
    <row r="244" spans="1:14" s="3" customFormat="1" ht="12.2" customHeight="1" x14ac:dyDescent="0.15">
      <c r="A244" s="1" t="s">
        <v>448</v>
      </c>
      <c r="B244" s="2" t="s">
        <v>350</v>
      </c>
      <c r="C244" s="2" t="s">
        <v>300</v>
      </c>
      <c r="D244" s="2" t="s">
        <v>431</v>
      </c>
      <c r="E244" s="6">
        <v>2700</v>
      </c>
      <c r="F244" s="18">
        <v>0</v>
      </c>
      <c r="G244" s="18">
        <v>0</v>
      </c>
      <c r="H244" s="18">
        <v>689773.15096</v>
      </c>
      <c r="I244" s="18">
        <v>0</v>
      </c>
      <c r="J244" s="18">
        <v>0</v>
      </c>
      <c r="K244" s="18">
        <v>0</v>
      </c>
      <c r="L244" s="19">
        <f t="shared" si="4"/>
        <v>689773.15096</v>
      </c>
      <c r="M244" s="8"/>
      <c r="N244" s="266"/>
    </row>
    <row r="245" spans="1:14" s="3" customFormat="1" ht="12.2" customHeight="1" x14ac:dyDescent="0.15">
      <c r="A245" s="1" t="s">
        <v>449</v>
      </c>
      <c r="B245" s="2" t="s">
        <v>350</v>
      </c>
      <c r="C245" s="2" t="s">
        <v>343</v>
      </c>
      <c r="D245" s="2" t="s">
        <v>431</v>
      </c>
      <c r="E245" s="6">
        <v>2800</v>
      </c>
      <c r="F245" s="18">
        <v>122645.02439999999</v>
      </c>
      <c r="G245" s="18">
        <v>78732.797000000006</v>
      </c>
      <c r="H245" s="18">
        <v>50231.6702</v>
      </c>
      <c r="I245" s="18">
        <v>30280.1178</v>
      </c>
      <c r="J245" s="18">
        <v>67397.86</v>
      </c>
      <c r="K245" s="18">
        <v>224.7</v>
      </c>
      <c r="L245" s="19">
        <f>SUM(F245:K245)</f>
        <v>349512.16940000001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5167973.2904400006</v>
      </c>
      <c r="G247" s="41">
        <f t="shared" si="5"/>
        <v>2433582.1837999993</v>
      </c>
      <c r="H247" s="41">
        <f t="shared" si="5"/>
        <v>1779392.42875</v>
      </c>
      <c r="I247" s="41">
        <f t="shared" si="5"/>
        <v>649866.78180999996</v>
      </c>
      <c r="J247" s="41">
        <f t="shared" si="5"/>
        <v>134014.65615</v>
      </c>
      <c r="K247" s="41">
        <f t="shared" si="5"/>
        <v>66948.683809999988</v>
      </c>
      <c r="L247" s="41">
        <f t="shared" si="5"/>
        <v>10231778.02476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780951.94</v>
      </c>
      <c r="I255" s="18"/>
      <c r="J255" s="18"/>
      <c r="K255" s="18"/>
      <c r="L255" s="19">
        <f t="shared" si="6"/>
        <v>780951.94</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780951.94</v>
      </c>
      <c r="I256" s="41">
        <f t="shared" si="7"/>
        <v>0</v>
      </c>
      <c r="J256" s="41">
        <f t="shared" si="7"/>
        <v>0</v>
      </c>
      <c r="K256" s="41">
        <f t="shared" si="7"/>
        <v>0</v>
      </c>
      <c r="L256" s="41">
        <f>SUM(F256:K256)</f>
        <v>780951.94</v>
      </c>
      <c r="M256" s="8"/>
      <c r="N256" s="266"/>
    </row>
    <row r="257" spans="1:14" s="3" customFormat="1" ht="12.2" customHeight="1" thickTop="1" x14ac:dyDescent="0.15">
      <c r="A257" s="38" t="s">
        <v>462</v>
      </c>
      <c r="B257" s="40">
        <v>10</v>
      </c>
      <c r="C257" s="40">
        <v>8</v>
      </c>
      <c r="D257" s="39" t="s">
        <v>431</v>
      </c>
      <c r="E257" s="40"/>
      <c r="F257" s="41">
        <f t="shared" ref="F257:L257" si="8">F211+F229+F247+F256</f>
        <v>13733046.200000001</v>
      </c>
      <c r="G257" s="41">
        <f t="shared" si="8"/>
        <v>6467097.6199999992</v>
      </c>
      <c r="H257" s="41">
        <f t="shared" si="8"/>
        <v>5537838.5600000005</v>
      </c>
      <c r="I257" s="41">
        <f t="shared" si="8"/>
        <v>1363397.13</v>
      </c>
      <c r="J257" s="41">
        <f t="shared" si="8"/>
        <v>518552.31</v>
      </c>
      <c r="K257" s="41">
        <f t="shared" si="8"/>
        <v>110715.99599999998</v>
      </c>
      <c r="L257" s="41">
        <f t="shared" si="8"/>
        <v>27730647.816000003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1040000</v>
      </c>
      <c r="L260" s="19">
        <f>SUM(F260:K260)</f>
        <v>1040000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748155</v>
      </c>
      <c r="L261" s="19">
        <f>SUM(F261:K261)</f>
        <v>748155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1788155</v>
      </c>
      <c r="L270" s="41">
        <f t="shared" si="9"/>
        <v>1788155</v>
      </c>
      <c r="N270" s="264"/>
    </row>
    <row r="271" spans="1:14" s="3" customFormat="1" ht="12.2" customHeight="1" thickTop="1" x14ac:dyDescent="0.2">
      <c r="A271" s="43" t="s">
        <v>464</v>
      </c>
      <c r="B271" s="40">
        <v>10</v>
      </c>
      <c r="C271" s="40">
        <v>18</v>
      </c>
      <c r="D271" s="39" t="s">
        <v>431</v>
      </c>
      <c r="E271" s="40"/>
      <c r="F271" s="42">
        <f t="shared" ref="F271:L271" si="11">F257+F270</f>
        <v>13733046.200000001</v>
      </c>
      <c r="G271" s="42">
        <f t="shared" si="11"/>
        <v>6467097.6199999992</v>
      </c>
      <c r="H271" s="42">
        <f t="shared" si="11"/>
        <v>5537838.5600000005</v>
      </c>
      <c r="I271" s="42">
        <f t="shared" si="11"/>
        <v>1363397.13</v>
      </c>
      <c r="J271" s="42">
        <f t="shared" si="11"/>
        <v>518552.31</v>
      </c>
      <c r="K271" s="42">
        <f t="shared" si="11"/>
        <v>1898870.996</v>
      </c>
      <c r="L271" s="42">
        <f t="shared" si="11"/>
        <v>29518802.816000003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120712.6888</v>
      </c>
      <c r="G276" s="18">
        <v>9991.2248</v>
      </c>
      <c r="H276" s="18">
        <v>1532.45</v>
      </c>
      <c r="I276" s="18">
        <v>14431.35</v>
      </c>
      <c r="J276" s="18">
        <v>7992.2934000000005</v>
      </c>
      <c r="K276" s="18">
        <v>0</v>
      </c>
      <c r="L276" s="19">
        <f>SUM(F276:K276)</f>
        <v>154660.00700000001</v>
      </c>
      <c r="M276" s="8"/>
      <c r="N276" s="266"/>
    </row>
    <row r="277" spans="1:14" s="3" customFormat="1" ht="12.2" customHeight="1" x14ac:dyDescent="0.15">
      <c r="A277" s="1" t="s">
        <v>439</v>
      </c>
      <c r="B277" s="2" t="s">
        <v>357</v>
      </c>
      <c r="C277" s="2" t="s">
        <v>291</v>
      </c>
      <c r="D277" s="2" t="s">
        <v>431</v>
      </c>
      <c r="E277" s="6">
        <v>1200</v>
      </c>
      <c r="F277" s="18">
        <v>161206.82607000001</v>
      </c>
      <c r="G277" s="18">
        <v>71809.542180000004</v>
      </c>
      <c r="H277" s="18">
        <v>21757.004099999998</v>
      </c>
      <c r="I277" s="18">
        <v>4352.1557400000002</v>
      </c>
      <c r="J277" s="18">
        <v>3901.8180000000002</v>
      </c>
      <c r="K277" s="18">
        <v>0</v>
      </c>
      <c r="L277" s="19">
        <f>SUM(F277:K277)</f>
        <v>263027.34609000001</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10494.457</v>
      </c>
      <c r="G282" s="18">
        <v>3534.6592000000001</v>
      </c>
      <c r="H282" s="18">
        <v>31177.706600000001</v>
      </c>
      <c r="I282" s="18">
        <v>0</v>
      </c>
      <c r="J282" s="18">
        <v>0</v>
      </c>
      <c r="K282" s="18">
        <v>8391.8538000000008</v>
      </c>
      <c r="L282" s="19">
        <f t="shared" si="12"/>
        <v>53598.676600000006</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1263.0816</v>
      </c>
      <c r="I287" s="18">
        <v>0</v>
      </c>
      <c r="J287" s="18">
        <v>0</v>
      </c>
      <c r="K287" s="18">
        <v>0</v>
      </c>
      <c r="L287" s="19">
        <f t="shared" si="12"/>
        <v>1263.0816</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3247.9193999999998</v>
      </c>
      <c r="J288" s="18">
        <v>0</v>
      </c>
      <c r="K288" s="18">
        <v>660.22</v>
      </c>
      <c r="L288" s="19">
        <f>SUM(F288:K288)</f>
        <v>3908.1394</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292413.97187000001</v>
      </c>
      <c r="G290" s="42">
        <f t="shared" si="13"/>
        <v>85335.426179999995</v>
      </c>
      <c r="H290" s="42">
        <f t="shared" si="13"/>
        <v>55730.242299999998</v>
      </c>
      <c r="I290" s="42">
        <f t="shared" si="13"/>
        <v>22031.425139999999</v>
      </c>
      <c r="J290" s="42">
        <f t="shared" si="13"/>
        <v>11894.111400000002</v>
      </c>
      <c r="K290" s="42">
        <f t="shared" si="13"/>
        <v>9052.0738000000001</v>
      </c>
      <c r="L290" s="41">
        <f t="shared" si="13"/>
        <v>476457.25068999996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0</v>
      </c>
      <c r="G301" s="18">
        <v>0</v>
      </c>
      <c r="H301" s="18">
        <v>0</v>
      </c>
      <c r="I301" s="18">
        <v>0</v>
      </c>
      <c r="J301" s="18">
        <v>0</v>
      </c>
      <c r="K301" s="18">
        <v>0</v>
      </c>
      <c r="L301" s="19">
        <f t="shared" si="14"/>
        <v>0</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901.0412</v>
      </c>
      <c r="G314" s="18">
        <v>223.48520000000002</v>
      </c>
      <c r="H314" s="18">
        <v>368.22</v>
      </c>
      <c r="I314" s="18">
        <v>109.99</v>
      </c>
      <c r="J314" s="18">
        <v>3328.5965999999999</v>
      </c>
      <c r="K314" s="18">
        <v>0</v>
      </c>
      <c r="L314" s="19">
        <f>SUM(F314:K314)</f>
        <v>4931.3329999999996</v>
      </c>
      <c r="M314" s="8"/>
      <c r="N314" s="266"/>
    </row>
    <row r="315" spans="1:14" s="3" customFormat="1" ht="12.2" customHeight="1" x14ac:dyDescent="0.15">
      <c r="A315" s="1" t="s">
        <v>439</v>
      </c>
      <c r="B315" s="2" t="s">
        <v>359</v>
      </c>
      <c r="C315" s="2" t="s">
        <v>291</v>
      </c>
      <c r="D315" s="2" t="s">
        <v>431</v>
      </c>
      <c r="E315" s="6">
        <v>1200</v>
      </c>
      <c r="F315" s="18">
        <v>69418.103929999997</v>
      </c>
      <c r="G315" s="18">
        <v>30922.277819999999</v>
      </c>
      <c r="H315" s="18">
        <v>9368.8958999999995</v>
      </c>
      <c r="I315" s="18">
        <v>1874.1042600000001</v>
      </c>
      <c r="J315" s="18">
        <v>1680.182</v>
      </c>
      <c r="K315" s="18">
        <v>0</v>
      </c>
      <c r="L315" s="19">
        <f>SUM(F315:K315)</f>
        <v>113263.56391</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1500</v>
      </c>
      <c r="G317" s="18">
        <v>295.11</v>
      </c>
      <c r="H317" s="18">
        <v>0</v>
      </c>
      <c r="I317" s="18">
        <v>4178.5200000000004</v>
      </c>
      <c r="J317" s="18">
        <v>0</v>
      </c>
      <c r="K317" s="18">
        <v>0</v>
      </c>
      <c r="L317" s="19">
        <f>SUM(F317:K317)</f>
        <v>5973.630000000001</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4581.9930000000004</v>
      </c>
      <c r="G320" s="18">
        <v>1611.1307999999999</v>
      </c>
      <c r="H320" s="18">
        <v>14295.303400000001</v>
      </c>
      <c r="I320" s="18">
        <v>0</v>
      </c>
      <c r="J320" s="18">
        <v>0</v>
      </c>
      <c r="K320" s="18">
        <v>4323.0762000000004</v>
      </c>
      <c r="L320" s="19">
        <f t="shared" si="16"/>
        <v>24811.503400000001</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650.67840000000001</v>
      </c>
      <c r="I325" s="18">
        <v>0</v>
      </c>
      <c r="J325" s="18">
        <v>0</v>
      </c>
      <c r="K325" s="18">
        <v>0</v>
      </c>
      <c r="L325" s="19">
        <f t="shared" si="16"/>
        <v>650.67840000000001</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1673.1705999999999</v>
      </c>
      <c r="J326" s="18">
        <v>0</v>
      </c>
      <c r="K326" s="18">
        <v>160</v>
      </c>
      <c r="L326" s="19">
        <f>SUM(F326:K326)</f>
        <v>1833.1705999999999</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76401.138130000007</v>
      </c>
      <c r="G328" s="42">
        <f t="shared" si="17"/>
        <v>33052.003819999998</v>
      </c>
      <c r="H328" s="42">
        <f t="shared" si="17"/>
        <v>24683.097700000002</v>
      </c>
      <c r="I328" s="42">
        <f t="shared" si="17"/>
        <v>7835.7848599999998</v>
      </c>
      <c r="J328" s="42">
        <f t="shared" si="17"/>
        <v>5008.7785999999996</v>
      </c>
      <c r="K328" s="42">
        <f t="shared" si="17"/>
        <v>4483.0762000000004</v>
      </c>
      <c r="L328" s="41">
        <f t="shared" si="17"/>
        <v>151463.87931000002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368815.11</v>
      </c>
      <c r="G338" s="41">
        <f t="shared" si="20"/>
        <v>118387.43</v>
      </c>
      <c r="H338" s="41">
        <f t="shared" si="20"/>
        <v>80413.34</v>
      </c>
      <c r="I338" s="41">
        <f t="shared" si="20"/>
        <v>29867.21</v>
      </c>
      <c r="J338" s="41">
        <f t="shared" si="20"/>
        <v>16902.89</v>
      </c>
      <c r="K338" s="41">
        <f t="shared" si="20"/>
        <v>13535.150000000001</v>
      </c>
      <c r="L338" s="41">
        <f t="shared" si="20"/>
        <v>627921.13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368815.11</v>
      </c>
      <c r="G352" s="41">
        <f>G338</f>
        <v>118387.43</v>
      </c>
      <c r="H352" s="41">
        <f>H338</f>
        <v>80413.34</v>
      </c>
      <c r="I352" s="41">
        <f>I338</f>
        <v>29867.21</v>
      </c>
      <c r="J352" s="41">
        <f>J338</f>
        <v>16902.89</v>
      </c>
      <c r="K352" s="47">
        <f>K338+K351</f>
        <v>13535.150000000001</v>
      </c>
      <c r="L352" s="41">
        <f>L338+L351</f>
        <v>627921.13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213356.93779999999</v>
      </c>
      <c r="G358" s="18">
        <v>73269.8318</v>
      </c>
      <c r="H358" s="18">
        <v>22420.220600000001</v>
      </c>
      <c r="I358" s="18">
        <v>223964.99820000003</v>
      </c>
      <c r="J358" s="18">
        <v>3286.4034000000001</v>
      </c>
      <c r="K358" s="18">
        <v>735.62279999999998</v>
      </c>
      <c r="L358" s="13">
        <f>SUM(F358:K358)</f>
        <v>537034.01459999999</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6"/>
    </row>
    <row r="360" spans="1:22" s="3" customFormat="1" ht="12.2" customHeight="1" x14ac:dyDescent="0.15">
      <c r="A360" s="3" t="s">
        <v>543</v>
      </c>
      <c r="B360" s="2" t="s">
        <v>366</v>
      </c>
      <c r="C360" s="6">
        <v>3</v>
      </c>
      <c r="D360" s="2" t="s">
        <v>431</v>
      </c>
      <c r="E360" s="6"/>
      <c r="F360" s="18">
        <v>114251.4722</v>
      </c>
      <c r="G360" s="18">
        <v>23824.128199999999</v>
      </c>
      <c r="H360" s="18">
        <v>11603.079399999999</v>
      </c>
      <c r="I360" s="18">
        <v>153638.5318</v>
      </c>
      <c r="J360" s="18">
        <v>251.0866</v>
      </c>
      <c r="K360" s="18">
        <v>378.9572</v>
      </c>
      <c r="L360" s="19">
        <f>SUM(F360:K360)</f>
        <v>303947.25539999997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327608.40999999997</v>
      </c>
      <c r="G362" s="47">
        <f t="shared" si="22"/>
        <v>97093.959999999992</v>
      </c>
      <c r="H362" s="47">
        <f t="shared" si="22"/>
        <v>34023.300000000003</v>
      </c>
      <c r="I362" s="47">
        <f t="shared" si="22"/>
        <v>377603.53</v>
      </c>
      <c r="J362" s="47">
        <f t="shared" si="22"/>
        <v>3537.4900000000002</v>
      </c>
      <c r="K362" s="47">
        <f t="shared" si="22"/>
        <v>1114.58</v>
      </c>
      <c r="L362" s="47">
        <f t="shared" si="22"/>
        <v>840981.27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203627.42</v>
      </c>
      <c r="G367" s="18">
        <v>0</v>
      </c>
      <c r="H367" s="18">
        <v>143970.97</v>
      </c>
      <c r="I367" s="56">
        <f>SUM(F367:H367)</f>
        <v>347598.39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21054.959999999999</v>
      </c>
      <c r="G368" s="63">
        <v>0</v>
      </c>
      <c r="H368" s="63">
        <v>8950.18</v>
      </c>
      <c r="I368" s="56">
        <f>SUM(F368:H368)</f>
        <v>30005.14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224682.38</v>
      </c>
      <c r="G369" s="47">
        <f>SUM(G367:G368)</f>
        <v>0</v>
      </c>
      <c r="H369" s="47">
        <f>SUM(H367:H368)</f>
        <v>152921.15</v>
      </c>
      <c r="I369" s="47">
        <f>SUM(I367:I368)</f>
        <v>377603.53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2">
      <c r="A375" s="1" t="s">
        <v>545</v>
      </c>
      <c r="B375" s="2" t="s">
        <v>366</v>
      </c>
      <c r="C375" s="2" t="s">
        <v>299</v>
      </c>
      <c r="D375" s="2" t="s">
        <v>431</v>
      </c>
      <c r="E375" s="6">
        <v>4200</v>
      </c>
      <c r="F375" s="18"/>
      <c r="G375" s="18"/>
      <c r="H375"/>
      <c r="I375" s="18"/>
      <c r="J375" s="18"/>
      <c r="K375" s="18"/>
      <c r="L375" s="13">
        <f t="shared" ref="L375:L381" si="23">SUM(F375:K375)</f>
        <v>0</v>
      </c>
      <c r="M375" s="8"/>
      <c r="N375" s="266"/>
    </row>
    <row r="376" spans="1:14" s="3" customFormat="1" ht="12.2" customHeight="1" x14ac:dyDescent="0.2">
      <c r="A376" s="1" t="s">
        <v>546</v>
      </c>
      <c r="B376" s="2" t="s">
        <v>366</v>
      </c>
      <c r="C376" s="2" t="s">
        <v>300</v>
      </c>
      <c r="D376" s="2" t="s">
        <v>431</v>
      </c>
      <c r="E376" s="6">
        <v>4300</v>
      </c>
      <c r="F376" s="18"/>
      <c r="G376" s="18"/>
      <c r="H376"/>
      <c r="I376" s="18"/>
      <c r="J376" s="18"/>
      <c r="K376" s="18"/>
      <c r="L376" s="13">
        <f t="shared" si="23"/>
        <v>0</v>
      </c>
      <c r="M376" s="8"/>
      <c r="N376" s="266"/>
    </row>
    <row r="377" spans="1:14" s="3" customFormat="1" ht="12.2" customHeight="1" x14ac:dyDescent="0.2">
      <c r="A377" s="1" t="s">
        <v>547</v>
      </c>
      <c r="B377" s="2" t="s">
        <v>366</v>
      </c>
      <c r="C377" s="2" t="s">
        <v>343</v>
      </c>
      <c r="D377" s="2" t="s">
        <v>431</v>
      </c>
      <c r="E377" s="6">
        <v>4400</v>
      </c>
      <c r="F377" s="18"/>
      <c r="G377" s="18"/>
      <c r="H377"/>
      <c r="I377" s="18"/>
      <c r="J377" s="18"/>
      <c r="K377" s="18"/>
      <c r="L377" s="13">
        <f t="shared" si="23"/>
        <v>0</v>
      </c>
      <c r="M377" s="8"/>
      <c r="N377" s="266"/>
    </row>
    <row r="378" spans="1:14" s="3" customFormat="1" ht="12.2" customHeight="1" x14ac:dyDescent="0.2">
      <c r="A378" s="1" t="s">
        <v>548</v>
      </c>
      <c r="B378" s="2" t="s">
        <v>366</v>
      </c>
      <c r="C378" s="2" t="s">
        <v>344</v>
      </c>
      <c r="D378" s="2" t="s">
        <v>431</v>
      </c>
      <c r="E378" s="6">
        <v>4500</v>
      </c>
      <c r="F378" s="18"/>
      <c r="G378" s="18"/>
      <c r="H378"/>
      <c r="I378" s="18"/>
      <c r="J378" s="18"/>
      <c r="K378" s="18"/>
      <c r="L378" s="13">
        <f t="shared" si="23"/>
        <v>0</v>
      </c>
      <c r="M378" s="8"/>
      <c r="N378" s="266"/>
    </row>
    <row r="379" spans="1:14" s="3" customFormat="1" ht="12.2" customHeight="1" x14ac:dyDescent="0.2">
      <c r="A379" s="1" t="s">
        <v>549</v>
      </c>
      <c r="B379" s="2" t="s">
        <v>366</v>
      </c>
      <c r="C379" s="2" t="s">
        <v>345</v>
      </c>
      <c r="D379" s="2" t="s">
        <v>431</v>
      </c>
      <c r="E379" s="6">
        <v>4600</v>
      </c>
      <c r="F379" s="18"/>
      <c r="G379" s="18"/>
      <c r="H379"/>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17979.86</v>
      </c>
      <c r="I396" s="18"/>
      <c r="J396" s="24" t="s">
        <v>288</v>
      </c>
      <c r="K396" s="24" t="s">
        <v>288</v>
      </c>
      <c r="L396" s="56">
        <f t="shared" si="26"/>
        <v>17979.86</v>
      </c>
      <c r="M396" s="8"/>
      <c r="N396" s="266"/>
    </row>
    <row r="397" spans="1:14" s="3" customFormat="1" ht="12.2" customHeight="1" x14ac:dyDescent="0.15">
      <c r="A397" s="79" t="s">
        <v>515</v>
      </c>
      <c r="B397" s="2" t="s">
        <v>381</v>
      </c>
      <c r="C397" s="6">
        <v>10</v>
      </c>
      <c r="D397" s="2" t="s">
        <v>432</v>
      </c>
      <c r="E397" s="6"/>
      <c r="F397" s="18"/>
      <c r="G397" s="18"/>
      <c r="H397" s="18">
        <v>4174.05</v>
      </c>
      <c r="I397" s="18"/>
      <c r="J397" s="24" t="s">
        <v>288</v>
      </c>
      <c r="K397" s="24" t="s">
        <v>288</v>
      </c>
      <c r="L397" s="56">
        <f t="shared" si="26"/>
        <v>4174.05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249.59</v>
      </c>
      <c r="I400" s="18"/>
      <c r="J400" s="24" t="s">
        <v>288</v>
      </c>
      <c r="K400" s="24" t="s">
        <v>288</v>
      </c>
      <c r="L400" s="56">
        <f t="shared" si="26"/>
        <v>249.59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22403.5</v>
      </c>
      <c r="I401" s="47">
        <f>SUM(I395:I400)</f>
        <v>0</v>
      </c>
      <c r="J401" s="45" t="s">
        <v>288</v>
      </c>
      <c r="K401" s="45" t="s">
        <v>288</v>
      </c>
      <c r="L401" s="47">
        <f>SUM(L395:L400)</f>
        <v>22403.5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1611</v>
      </c>
      <c r="B403" s="2" t="s">
        <v>381</v>
      </c>
      <c r="C403" s="6">
        <v>15</v>
      </c>
      <c r="D403" s="2" t="s">
        <v>432</v>
      </c>
      <c r="E403" s="6"/>
      <c r="F403" s="18"/>
      <c r="G403" s="18"/>
      <c r="H403" s="18">
        <v>1730.7</v>
      </c>
      <c r="I403" s="18"/>
      <c r="J403" s="24" t="s">
        <v>288</v>
      </c>
      <c r="K403" s="24" t="s">
        <v>288</v>
      </c>
      <c r="L403" s="56">
        <f>SUM(F403:K403)</f>
        <v>1730.7</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1730.7</v>
      </c>
      <c r="I407" s="47">
        <f>SUM(I403:I406)</f>
        <v>0</v>
      </c>
      <c r="J407" s="49" t="s">
        <v>288</v>
      </c>
      <c r="K407" s="49" t="s">
        <v>288</v>
      </c>
      <c r="L407" s="47">
        <f>SUM(L403:L406)</f>
        <v>1730.7</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24134.2</v>
      </c>
      <c r="I408" s="47">
        <f>I393+I401+I407</f>
        <v>0</v>
      </c>
      <c r="J408" s="24" t="s">
        <v>288</v>
      </c>
      <c r="K408" s="24" t="s">
        <v>288</v>
      </c>
      <c r="L408" s="47">
        <f>L393+L401+L407</f>
        <v>24134.2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206127.43</v>
      </c>
      <c r="G442" s="18">
        <v>309225.24</v>
      </c>
      <c r="H442" s="18"/>
      <c r="I442" s="56">
        <f t="shared" si="33"/>
        <v>515352.67</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206127.43</v>
      </c>
      <c r="G446" s="13">
        <f>SUM(G439:G445)</f>
        <v>309225.24</v>
      </c>
      <c r="H446" s="13">
        <f>SUM(H439:H445)</f>
        <v>0</v>
      </c>
      <c r="I446" s="13">
        <f>SUM(I439:I445)</f>
        <v>515352.67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206127.43</v>
      </c>
      <c r="G459" s="18">
        <v>309225.24</v>
      </c>
      <c r="H459" s="18"/>
      <c r="I459" s="56">
        <f t="shared" si="34"/>
        <v>515352.67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206127.43</v>
      </c>
      <c r="G460" s="83">
        <f>SUM(G454:G459)</f>
        <v>309225.24</v>
      </c>
      <c r="H460" s="83">
        <f>SUM(H454:H459)</f>
        <v>0</v>
      </c>
      <c r="I460" s="83">
        <f>SUM(I454:I459)</f>
        <v>515352.67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206127.43</v>
      </c>
      <c r="G461" s="42">
        <f>G452+G460</f>
        <v>309225.24</v>
      </c>
      <c r="H461" s="42">
        <f>H452+H460</f>
        <v>0</v>
      </c>
      <c r="I461" s="42">
        <f>I452+I460</f>
        <v>515352.67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2128570</v>
      </c>
      <c r="G465" s="18">
        <v>222719.26</v>
      </c>
      <c r="H465" s="18">
        <v>0</v>
      </c>
      <c r="I465" s="18">
        <v>0</v>
      </c>
      <c r="J465" s="18">
        <v>491214.93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29006148.57</v>
      </c>
      <c r="G468" s="18">
        <v>860450.81</v>
      </c>
      <c r="H468" s="18">
        <v>627921.13</v>
      </c>
      <c r="I468" s="18">
        <v>0</v>
      </c>
      <c r="J468" s="18">
        <v>24134.2</v>
      </c>
      <c r="K468" s="24" t="s">
        <v>288</v>
      </c>
      <c r="L468" s="24" t="s">
        <v>288</v>
      </c>
      <c r="N468" s="265"/>
    </row>
    <row r="469" spans="1:14" s="52" customFormat="1" ht="12.2" customHeight="1" x14ac:dyDescent="0.2">
      <c r="A469" s="93" t="s">
        <v>611</v>
      </c>
      <c r="B469" s="75">
        <v>19</v>
      </c>
      <c r="C469" s="80">
        <v>3</v>
      </c>
      <c r="D469" s="2" t="s">
        <v>432</v>
      </c>
      <c r="E469" s="80"/>
      <c r="F469" s="18">
        <v>0</v>
      </c>
      <c r="G469" s="18">
        <v>0</v>
      </c>
      <c r="H469" s="18">
        <v>0</v>
      </c>
      <c r="I469" s="18">
        <v>0</v>
      </c>
      <c r="J469" s="18">
        <v>0</v>
      </c>
      <c r="K469" s="24" t="s">
        <v>288</v>
      </c>
      <c r="L469" s="24" t="s">
        <v>288</v>
      </c>
      <c r="N469" s="265"/>
    </row>
    <row r="470" spans="1:14" s="52" customFormat="1" ht="12.2" customHeight="1" x14ac:dyDescent="0.2">
      <c r="A470" s="92" t="s">
        <v>425</v>
      </c>
      <c r="B470" s="75">
        <v>19</v>
      </c>
      <c r="C470" s="80">
        <v>4</v>
      </c>
      <c r="D470" s="2" t="s">
        <v>432</v>
      </c>
      <c r="E470" s="80"/>
      <c r="F470" s="53">
        <f>SUM(F468:F469)</f>
        <v>29006148.57</v>
      </c>
      <c r="G470" s="53">
        <f>SUM(G468:G469)</f>
        <v>860450.81</v>
      </c>
      <c r="H470" s="53">
        <f>SUM(H468:H469)</f>
        <v>627921.13</v>
      </c>
      <c r="I470" s="53">
        <f>SUM(I468:I469)</f>
        <v>0</v>
      </c>
      <c r="J470" s="53">
        <f>SUM(J468:J469)</f>
        <v>24134.2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29518802.82</v>
      </c>
      <c r="G472" s="18">
        <v>840981.27</v>
      </c>
      <c r="H472" s="18">
        <v>627921.13</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v>0.04</v>
      </c>
      <c r="G473" s="18">
        <v>0</v>
      </c>
      <c r="H473" s="18">
        <v>0</v>
      </c>
      <c r="I473" s="18">
        <v>0</v>
      </c>
      <c r="J473" s="18">
        <v>-3.54</v>
      </c>
      <c r="K473" s="24" t="s">
        <v>288</v>
      </c>
      <c r="L473" s="24" t="s">
        <v>288</v>
      </c>
      <c r="N473" s="265"/>
    </row>
    <row r="474" spans="1:14" s="52" customFormat="1" ht="12.2" customHeight="1" x14ac:dyDescent="0.2">
      <c r="A474" s="92" t="s">
        <v>426</v>
      </c>
      <c r="B474" s="75">
        <v>19</v>
      </c>
      <c r="C474" s="80">
        <v>7</v>
      </c>
      <c r="D474" s="2" t="s">
        <v>432</v>
      </c>
      <c r="E474" s="80"/>
      <c r="F474" s="53">
        <f>SUM(F472:F473)</f>
        <v>29518802.859999999</v>
      </c>
      <c r="G474" s="53">
        <f>SUM(G472:G473)</f>
        <v>840981.27</v>
      </c>
      <c r="H474" s="53">
        <f>SUM(H472:H473)</f>
        <v>627921.13</v>
      </c>
      <c r="I474" s="53">
        <f>SUM(I472:I473)</f>
        <v>0</v>
      </c>
      <c r="J474" s="53">
        <f>SUM(J472:J473)</f>
        <v>-3.54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1615915.7100000009</v>
      </c>
      <c r="G476" s="53">
        <f>(G465+G470)- G474</f>
        <v>242188.80000000005</v>
      </c>
      <c r="H476" s="53">
        <f>(H465+H470)- H474</f>
        <v>0</v>
      </c>
      <c r="I476" s="53">
        <f>(I465+I470)- I474</f>
        <v>0</v>
      </c>
      <c r="J476" s="53">
        <f>(J465+J470)- J474</f>
        <v>515352.67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1612</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5</v>
      </c>
      <c r="G490" s="154">
        <v>20</v>
      </c>
      <c r="H490" s="154">
        <v>6</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1613</v>
      </c>
      <c r="G491" s="155" t="s">
        <v>1615</v>
      </c>
      <c r="H491" s="155" t="s">
        <v>1617</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1614</v>
      </c>
      <c r="G492" s="155" t="s">
        <v>1616</v>
      </c>
      <c r="H492" s="155" t="s">
        <v>1618</v>
      </c>
      <c r="I492" s="154"/>
      <c r="J492" s="154"/>
      <c r="K492" s="24" t="s">
        <v>288</v>
      </c>
      <c r="L492" s="24" t="s">
        <v>288</v>
      </c>
      <c r="N492" s="265"/>
    </row>
    <row r="493" spans="1:14" s="52" customFormat="1" ht="12.2" customHeight="1" x14ac:dyDescent="0.2">
      <c r="A493" s="22" t="s">
        <v>617</v>
      </c>
      <c r="B493" s="75">
        <v>20</v>
      </c>
      <c r="C493" s="115">
        <v>4</v>
      </c>
      <c r="D493" s="2" t="s">
        <v>432</v>
      </c>
      <c r="E493" s="115"/>
      <c r="F493" s="18">
        <v>1100000</v>
      </c>
      <c r="G493" s="18">
        <v>20745000</v>
      </c>
      <c r="H493" s="18">
        <v>245000</v>
      </c>
      <c r="I493" s="18"/>
      <c r="J493" s="18"/>
      <c r="K493" s="24" t="s">
        <v>288</v>
      </c>
      <c r="L493" s="24" t="s">
        <v>288</v>
      </c>
      <c r="N493" s="265"/>
    </row>
    <row r="494" spans="1:14" s="52" customFormat="1" ht="12.2" customHeight="1" x14ac:dyDescent="0.2">
      <c r="A494" s="22" t="s">
        <v>618</v>
      </c>
      <c r="B494" s="75">
        <v>20</v>
      </c>
      <c r="C494" s="115">
        <v>5</v>
      </c>
      <c r="D494" s="2" t="s">
        <v>432</v>
      </c>
      <c r="E494" s="115"/>
      <c r="F494" s="18">
        <v>2.67</v>
      </c>
      <c r="G494" s="18">
        <v>3.2</v>
      </c>
      <c r="H494" s="18">
        <v>3.71</v>
      </c>
      <c r="I494" s="18"/>
      <c r="J494" s="18"/>
      <c r="K494" s="24" t="s">
        <v>288</v>
      </c>
      <c r="L494" s="24" t="s">
        <v>288</v>
      </c>
      <c r="N494" s="265"/>
    </row>
    <row r="495" spans="1:14" s="52" customFormat="1" ht="12.2" customHeight="1" x14ac:dyDescent="0.2">
      <c r="A495" s="22" t="s">
        <v>619</v>
      </c>
      <c r="B495" s="75">
        <v>20</v>
      </c>
      <c r="C495" s="115">
        <v>6</v>
      </c>
      <c r="D495" s="2" t="s">
        <v>432</v>
      </c>
      <c r="E495" s="115"/>
      <c r="F495" s="18">
        <v>253676.53</v>
      </c>
      <c r="G495" s="18">
        <v>17625000</v>
      </c>
      <c r="H495" s="18">
        <v>245000</v>
      </c>
      <c r="I495" s="18"/>
      <c r="J495" s="18"/>
      <c r="K495" s="53">
        <f>SUM(F495:J495)</f>
        <v>18123676.530000001</v>
      </c>
      <c r="L495" s="24" t="s">
        <v>288</v>
      </c>
      <c r="N495" s="265"/>
    </row>
    <row r="496" spans="1:14" s="52" customFormat="1" ht="12.2" customHeight="1" x14ac:dyDescent="0.2">
      <c r="A496" s="22" t="s">
        <v>620</v>
      </c>
      <c r="B496" s="75">
        <v>20</v>
      </c>
      <c r="C496" s="115">
        <v>7</v>
      </c>
      <c r="D496" s="2" t="s">
        <v>432</v>
      </c>
      <c r="E496" s="115"/>
      <c r="F496" s="18">
        <v>0</v>
      </c>
      <c r="G496" s="18">
        <v>0</v>
      </c>
      <c r="H496" s="18">
        <v>0</v>
      </c>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217000</v>
      </c>
      <c r="G497" s="18">
        <v>1040000</v>
      </c>
      <c r="H497" s="18">
        <v>44838.04</v>
      </c>
      <c r="I497" s="18"/>
      <c r="J497" s="18"/>
      <c r="K497" s="53">
        <f t="shared" si="35"/>
        <v>1301838.04</v>
      </c>
      <c r="L497" s="24" t="s">
        <v>288</v>
      </c>
      <c r="N497" s="265"/>
    </row>
    <row r="498" spans="1:14" s="52" customFormat="1" ht="12.2" customHeight="1" x14ac:dyDescent="0.2">
      <c r="A498" s="200" t="s">
        <v>622</v>
      </c>
      <c r="B498" s="201">
        <v>20</v>
      </c>
      <c r="C498" s="202">
        <v>9</v>
      </c>
      <c r="D498" s="203" t="s">
        <v>432</v>
      </c>
      <c r="E498" s="202"/>
      <c r="F498" s="204">
        <v>43449.69</v>
      </c>
      <c r="G498" s="204">
        <v>16585000</v>
      </c>
      <c r="H498" s="204">
        <v>224190.2</v>
      </c>
      <c r="I498" s="204"/>
      <c r="J498" s="204"/>
      <c r="K498" s="205">
        <f t="shared" si="35"/>
        <v>16852639.890000001</v>
      </c>
      <c r="L498" s="206" t="s">
        <v>288</v>
      </c>
      <c r="N498" s="265"/>
    </row>
    <row r="499" spans="1:14" s="52" customFormat="1" ht="12.2" customHeight="1" thickBot="1" x14ac:dyDescent="0.25">
      <c r="A499" s="22" t="s">
        <v>623</v>
      </c>
      <c r="B499" s="75">
        <v>20</v>
      </c>
      <c r="C499" s="115">
        <v>10</v>
      </c>
      <c r="D499" s="2" t="s">
        <v>432</v>
      </c>
      <c r="E499" s="115"/>
      <c r="F499" s="18">
        <v>1160.1099999999999</v>
      </c>
      <c r="G499" s="18">
        <v>5476267.5</v>
      </c>
      <c r="H499" s="18">
        <v>22942.55</v>
      </c>
      <c r="I499" s="18"/>
      <c r="J499" s="18"/>
      <c r="K499" s="53">
        <f t="shared" si="35"/>
        <v>5500370.1600000001</v>
      </c>
      <c r="L499" s="24" t="s">
        <v>288</v>
      </c>
      <c r="N499" s="265"/>
    </row>
    <row r="500" spans="1:14" s="52" customFormat="1" ht="12.2" customHeight="1" thickTop="1" x14ac:dyDescent="0.2">
      <c r="A500" s="139" t="s">
        <v>624</v>
      </c>
      <c r="B500" s="44">
        <v>20</v>
      </c>
      <c r="C500" s="195">
        <v>11</v>
      </c>
      <c r="D500" s="39" t="s">
        <v>432</v>
      </c>
      <c r="E500" s="195"/>
      <c r="F500" s="42">
        <f>SUM(F498:F499)</f>
        <v>44609.8</v>
      </c>
      <c r="G500" s="42">
        <f>SUM(G498:G499)</f>
        <v>22061267.5</v>
      </c>
      <c r="H500" s="42">
        <f>SUM(H498:H499)</f>
        <v>247132.75</v>
      </c>
      <c r="I500" s="42">
        <f>SUM(I498:I499)</f>
        <v>0</v>
      </c>
      <c r="J500" s="42">
        <f>SUM(J498:J499)</f>
        <v>0</v>
      </c>
      <c r="K500" s="42">
        <f t="shared" si="35"/>
        <v>22353010.050000001</v>
      </c>
      <c r="L500" s="45" t="s">
        <v>288</v>
      </c>
      <c r="N500" s="265"/>
    </row>
    <row r="501" spans="1:14" s="52" customFormat="1" ht="12.2" customHeight="1" x14ac:dyDescent="0.2">
      <c r="A501" s="200" t="s">
        <v>651</v>
      </c>
      <c r="B501" s="201">
        <v>20</v>
      </c>
      <c r="C501" s="202">
        <v>12</v>
      </c>
      <c r="D501" s="203" t="s">
        <v>432</v>
      </c>
      <c r="E501" s="202"/>
      <c r="F501" s="204">
        <v>43449.69</v>
      </c>
      <c r="G501" s="204">
        <v>1040000</v>
      </c>
      <c r="H501" s="204">
        <v>37371.75</v>
      </c>
      <c r="I501" s="204"/>
      <c r="J501" s="204"/>
      <c r="K501" s="205">
        <f t="shared" si="35"/>
        <v>1120821.44</v>
      </c>
      <c r="L501" s="206" t="s">
        <v>288</v>
      </c>
      <c r="N501" s="265"/>
    </row>
    <row r="502" spans="1:14" s="52" customFormat="1" ht="12.2" customHeight="1" thickBot="1" x14ac:dyDescent="0.25">
      <c r="A502" s="22" t="s">
        <v>625</v>
      </c>
      <c r="B502" s="75">
        <v>20</v>
      </c>
      <c r="C502" s="115">
        <v>13</v>
      </c>
      <c r="D502" s="2" t="s">
        <v>432</v>
      </c>
      <c r="E502" s="115"/>
      <c r="F502" s="18">
        <v>1160.1099999999999</v>
      </c>
      <c r="G502" s="18">
        <v>695115</v>
      </c>
      <c r="H502" s="18">
        <v>7466.29</v>
      </c>
      <c r="I502" s="18"/>
      <c r="J502" s="18"/>
      <c r="K502" s="53">
        <f t="shared" si="35"/>
        <v>703741.4</v>
      </c>
      <c r="L502" s="24" t="s">
        <v>288</v>
      </c>
      <c r="N502" s="265"/>
    </row>
    <row r="503" spans="1:14" s="52" customFormat="1" ht="12.2" customHeight="1" thickTop="1" x14ac:dyDescent="0.2">
      <c r="A503" s="139" t="s">
        <v>626</v>
      </c>
      <c r="B503" s="44">
        <v>20</v>
      </c>
      <c r="C503" s="195">
        <v>14</v>
      </c>
      <c r="D503" s="39" t="s">
        <v>432</v>
      </c>
      <c r="E503" s="195"/>
      <c r="F503" s="42">
        <f>SUM(F501:F502)</f>
        <v>44609.8</v>
      </c>
      <c r="G503" s="42">
        <f>SUM(G501:G502)</f>
        <v>1735115</v>
      </c>
      <c r="H503" s="42">
        <f>SUM(H501:H502)</f>
        <v>44838.04</v>
      </c>
      <c r="I503" s="42">
        <f>SUM(I501:I502)</f>
        <v>0</v>
      </c>
      <c r="J503" s="42">
        <f>SUM(J501:J502)</f>
        <v>0</v>
      </c>
      <c r="K503" s="42">
        <f t="shared" si="35"/>
        <v>1824562.84</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556035.72</v>
      </c>
      <c r="G507" s="144"/>
      <c r="H507" s="144"/>
      <c r="I507" s="144">
        <v>532236.89</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1967161.5802399998</v>
      </c>
      <c r="G521" s="18">
        <v>699543.92244999995</v>
      </c>
      <c r="H521" s="18">
        <v>1005328.17452</v>
      </c>
      <c r="I521" s="18">
        <v>19332.550869999999</v>
      </c>
      <c r="J521" s="18">
        <v>24716.41721</v>
      </c>
      <c r="K521" s="18">
        <v>6774.5163899999998</v>
      </c>
      <c r="L521" s="88">
        <f>SUM(F521:K521)</f>
        <v>3722857.1616799994</v>
      </c>
      <c r="N521" s="265"/>
    </row>
    <row r="522" spans="1:14" s="52" customFormat="1" ht="12.2" customHeight="1" x14ac:dyDescent="0.2">
      <c r="A522" s="22" t="s">
        <v>634</v>
      </c>
      <c r="B522" s="105">
        <v>21</v>
      </c>
      <c r="C522" s="115">
        <v>2</v>
      </c>
      <c r="D522" s="2" t="s">
        <v>432</v>
      </c>
      <c r="E522" s="115"/>
      <c r="F522" s="18">
        <v>0</v>
      </c>
      <c r="G522" s="18">
        <v>0</v>
      </c>
      <c r="H522" s="18">
        <v>0</v>
      </c>
      <c r="I522" s="18">
        <v>0</v>
      </c>
      <c r="J522" s="18">
        <v>0</v>
      </c>
      <c r="K522" s="18">
        <v>0</v>
      </c>
      <c r="L522" s="88">
        <f>SUM(F522:K522)</f>
        <v>0</v>
      </c>
      <c r="N522" s="265"/>
    </row>
    <row r="523" spans="1:14" s="52" customFormat="1" ht="12.2" customHeight="1" thickBot="1" x14ac:dyDescent="0.25">
      <c r="A523" s="22" t="s">
        <v>635</v>
      </c>
      <c r="B523" s="105">
        <v>21</v>
      </c>
      <c r="C523" s="115">
        <v>3</v>
      </c>
      <c r="D523" s="2" t="s">
        <v>432</v>
      </c>
      <c r="E523" s="115"/>
      <c r="F523" s="18">
        <v>813168.82975999999</v>
      </c>
      <c r="G523" s="18">
        <v>288573.45754999999</v>
      </c>
      <c r="H523" s="18">
        <v>433317.99548000004</v>
      </c>
      <c r="I523" s="18">
        <v>8819.0291300000008</v>
      </c>
      <c r="J523" s="18">
        <v>6795.7427900000002</v>
      </c>
      <c r="K523" s="18">
        <v>2682.0936099999999</v>
      </c>
      <c r="L523" s="88">
        <f>SUM(F523:K523)</f>
        <v>1553357.1483200002</v>
      </c>
      <c r="N523" s="265"/>
    </row>
    <row r="524" spans="1:14" s="52" customFormat="1" ht="12.2" customHeight="1" thickTop="1" x14ac:dyDescent="0.2">
      <c r="A524" s="139" t="s">
        <v>63</v>
      </c>
      <c r="B524" s="107">
        <v>21</v>
      </c>
      <c r="C524" s="195">
        <v>4</v>
      </c>
      <c r="D524" s="196" t="s">
        <v>432</v>
      </c>
      <c r="E524" s="195"/>
      <c r="F524" s="108">
        <f>SUM(F521:F523)</f>
        <v>2780330.4099999997</v>
      </c>
      <c r="G524" s="108">
        <f t="shared" ref="G524:L524" si="36">SUM(G521:G523)</f>
        <v>988117.37999999989</v>
      </c>
      <c r="H524" s="108">
        <f t="shared" si="36"/>
        <v>1438646.17</v>
      </c>
      <c r="I524" s="108">
        <f t="shared" si="36"/>
        <v>28151.58</v>
      </c>
      <c r="J524" s="108">
        <f t="shared" si="36"/>
        <v>31512.16</v>
      </c>
      <c r="K524" s="108">
        <f t="shared" si="36"/>
        <v>9456.61</v>
      </c>
      <c r="L524" s="89">
        <f t="shared" si="36"/>
        <v>5276214.3099999996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339275.35620000004</v>
      </c>
      <c r="G526" s="18">
        <v>128337.16500000001</v>
      </c>
      <c r="H526" s="18">
        <v>238141.86360000001</v>
      </c>
      <c r="I526" s="18">
        <v>6090.4214000000002</v>
      </c>
      <c r="J526" s="18">
        <v>697.51</v>
      </c>
      <c r="K526" s="18">
        <v>46.2</v>
      </c>
      <c r="L526" s="88">
        <f>SUM(F526:K526)</f>
        <v>712588.51620000007</v>
      </c>
      <c r="M526" s="8"/>
      <c r="N526" s="266"/>
    </row>
    <row r="527" spans="1:14" s="3" customFormat="1" ht="12.2" customHeight="1" x14ac:dyDescent="0.15">
      <c r="A527" s="22" t="s">
        <v>634</v>
      </c>
      <c r="B527" s="105">
        <v>21</v>
      </c>
      <c r="C527" s="115">
        <v>6</v>
      </c>
      <c r="D527" s="2" t="s">
        <v>432</v>
      </c>
      <c r="E527" s="115"/>
      <c r="F527" s="18">
        <v>0</v>
      </c>
      <c r="G527" s="18">
        <v>0</v>
      </c>
      <c r="H527" s="18">
        <v>0</v>
      </c>
      <c r="I527" s="18">
        <v>0</v>
      </c>
      <c r="J527" s="18">
        <v>0</v>
      </c>
      <c r="K527" s="18">
        <v>0</v>
      </c>
      <c r="L527" s="88">
        <f>SUM(F527:K527)</f>
        <v>0</v>
      </c>
      <c r="M527" s="8"/>
      <c r="N527" s="266"/>
    </row>
    <row r="528" spans="1:14" s="3" customFormat="1" ht="12.2" customHeight="1" thickBot="1" x14ac:dyDescent="0.2">
      <c r="A528" s="22" t="s">
        <v>635</v>
      </c>
      <c r="B528" s="118">
        <v>21</v>
      </c>
      <c r="C528" s="118">
        <v>7</v>
      </c>
      <c r="D528" s="2" t="s">
        <v>432</v>
      </c>
      <c r="E528" s="118"/>
      <c r="F528" s="18">
        <v>174778.2138</v>
      </c>
      <c r="G528" s="18">
        <v>66113.085000000006</v>
      </c>
      <c r="H528" s="18">
        <v>121400.64640000001</v>
      </c>
      <c r="I528" s="18">
        <v>4427.1786000000002</v>
      </c>
      <c r="J528" s="18">
        <v>596.33000000000004</v>
      </c>
      <c r="K528" s="18">
        <v>23.8</v>
      </c>
      <c r="L528" s="88">
        <f>SUM(F528:K528)</f>
        <v>367339.25380000001</v>
      </c>
      <c r="M528" s="8"/>
      <c r="N528" s="266"/>
    </row>
    <row r="529" spans="1:14" s="3" customFormat="1" ht="12.2" customHeight="1" thickTop="1" x14ac:dyDescent="0.15">
      <c r="A529" s="139" t="s">
        <v>65</v>
      </c>
      <c r="B529" s="107">
        <v>21</v>
      </c>
      <c r="C529" s="107">
        <v>8</v>
      </c>
      <c r="D529" s="158" t="s">
        <v>432</v>
      </c>
      <c r="E529" s="107"/>
      <c r="F529" s="89">
        <f>SUM(F526:F528)</f>
        <v>514053.57000000007</v>
      </c>
      <c r="G529" s="89">
        <f t="shared" ref="G529:L529" si="37">SUM(G526:G528)</f>
        <v>194450.25</v>
      </c>
      <c r="H529" s="89">
        <f t="shared" si="37"/>
        <v>359542.51</v>
      </c>
      <c r="I529" s="89">
        <f t="shared" si="37"/>
        <v>10517.6</v>
      </c>
      <c r="J529" s="89">
        <f t="shared" si="37"/>
        <v>1293.8400000000001</v>
      </c>
      <c r="K529" s="89">
        <f t="shared" si="37"/>
        <v>70</v>
      </c>
      <c r="L529" s="89">
        <f t="shared" si="37"/>
        <v>1079927.77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160937.66912999999</v>
      </c>
      <c r="G531" s="18">
        <v>77432.787479999999</v>
      </c>
      <c r="H531" s="18">
        <v>4274.16831</v>
      </c>
      <c r="I531" s="18">
        <v>149.32737</v>
      </c>
      <c r="J531" s="18">
        <v>3304.8440399999999</v>
      </c>
      <c r="K531" s="18">
        <v>1142.865</v>
      </c>
      <c r="L531" s="88">
        <f>SUM(F531:K531)</f>
        <v>247241.66133</v>
      </c>
      <c r="M531" s="8"/>
      <c r="N531" s="266"/>
    </row>
    <row r="532" spans="1:14" s="3" customFormat="1" ht="12.2" customHeight="1" x14ac:dyDescent="0.15">
      <c r="A532" s="22" t="s">
        <v>634</v>
      </c>
      <c r="B532" s="105">
        <v>21</v>
      </c>
      <c r="C532" s="105">
        <v>10</v>
      </c>
      <c r="D532" s="2" t="s">
        <v>432</v>
      </c>
      <c r="E532" s="105"/>
      <c r="F532" s="18">
        <v>0</v>
      </c>
      <c r="G532" s="18">
        <v>0</v>
      </c>
      <c r="H532" s="18">
        <v>0</v>
      </c>
      <c r="I532" s="18">
        <v>0</v>
      </c>
      <c r="J532" s="18">
        <v>0</v>
      </c>
      <c r="K532" s="18">
        <v>0</v>
      </c>
      <c r="L532" s="88">
        <f>SUM(F532:K532)</f>
        <v>0</v>
      </c>
      <c r="M532" s="8"/>
      <c r="N532" s="266"/>
    </row>
    <row r="533" spans="1:14" s="3" customFormat="1" ht="12.2" customHeight="1" thickBot="1" x14ac:dyDescent="0.2">
      <c r="A533" s="22" t="s">
        <v>635</v>
      </c>
      <c r="B533" s="105">
        <v>21</v>
      </c>
      <c r="C533" s="105">
        <v>11</v>
      </c>
      <c r="D533" s="2" t="s">
        <v>432</v>
      </c>
      <c r="E533" s="105"/>
      <c r="F533" s="18">
        <v>69302.200870000001</v>
      </c>
      <c r="G533" s="18">
        <v>33343.732519999998</v>
      </c>
      <c r="H533" s="18">
        <v>1840.52169</v>
      </c>
      <c r="I533" s="18">
        <v>64.302629999999994</v>
      </c>
      <c r="J533" s="18">
        <v>1423.1159600000001</v>
      </c>
      <c r="K533" s="18">
        <v>492.13499999999999</v>
      </c>
      <c r="L533" s="88">
        <f>SUM(F533:K533)</f>
        <v>106466.00866999998</v>
      </c>
      <c r="M533" s="8"/>
      <c r="N533" s="266"/>
    </row>
    <row r="534" spans="1:14" s="3" customFormat="1" ht="12.2" customHeight="1" thickTop="1" x14ac:dyDescent="0.15">
      <c r="A534" s="139" t="s">
        <v>67</v>
      </c>
      <c r="B534" s="107">
        <v>21</v>
      </c>
      <c r="C534" s="107">
        <v>12</v>
      </c>
      <c r="D534" s="158" t="s">
        <v>432</v>
      </c>
      <c r="E534" s="107"/>
      <c r="F534" s="89">
        <f>SUM(F531:F533)</f>
        <v>230239.87</v>
      </c>
      <c r="G534" s="89">
        <f t="shared" ref="G534:L534" si="38">SUM(G531:G533)</f>
        <v>110776.51999999999</v>
      </c>
      <c r="H534" s="89">
        <f t="shared" si="38"/>
        <v>6114.6900000000005</v>
      </c>
      <c r="I534" s="89">
        <f t="shared" si="38"/>
        <v>213.63</v>
      </c>
      <c r="J534" s="89">
        <f t="shared" si="38"/>
        <v>4727.96</v>
      </c>
      <c r="K534" s="89">
        <f t="shared" si="38"/>
        <v>1635</v>
      </c>
      <c r="L534" s="89">
        <f t="shared" si="38"/>
        <v>353707.67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0</v>
      </c>
      <c r="I536" s="18">
        <v>0</v>
      </c>
      <c r="J536" s="18">
        <v>0</v>
      </c>
      <c r="K536" s="18">
        <v>0</v>
      </c>
      <c r="L536" s="88">
        <f>SUM(F536:K536)</f>
        <v>0</v>
      </c>
      <c r="M536" s="8"/>
      <c r="N536" s="266"/>
    </row>
    <row r="537" spans="1:14" s="3" customFormat="1" ht="12.2" customHeight="1" x14ac:dyDescent="0.15">
      <c r="A537" s="22" t="s">
        <v>634</v>
      </c>
      <c r="B537" s="105">
        <v>21</v>
      </c>
      <c r="C537" s="105">
        <v>14</v>
      </c>
      <c r="D537" s="2" t="s">
        <v>432</v>
      </c>
      <c r="E537" s="105"/>
      <c r="F537" s="18">
        <v>0</v>
      </c>
      <c r="G537" s="18">
        <v>0</v>
      </c>
      <c r="H537" s="18">
        <v>0</v>
      </c>
      <c r="I537" s="18">
        <v>0</v>
      </c>
      <c r="J537" s="18">
        <v>0</v>
      </c>
      <c r="K537" s="18">
        <v>0</v>
      </c>
      <c r="L537" s="88">
        <f>SUM(F537:K537)</f>
        <v>0</v>
      </c>
      <c r="M537" s="8"/>
      <c r="N537" s="266"/>
    </row>
    <row r="538" spans="1:14" s="3" customFormat="1" ht="12.2" customHeight="1" thickBot="1" x14ac:dyDescent="0.2">
      <c r="A538" s="22" t="s">
        <v>635</v>
      </c>
      <c r="B538" s="105">
        <v>21</v>
      </c>
      <c r="C538" s="105">
        <v>15</v>
      </c>
      <c r="D538" s="2" t="s">
        <v>432</v>
      </c>
      <c r="E538" s="105"/>
      <c r="F538" s="18">
        <v>0</v>
      </c>
      <c r="G538" s="18">
        <v>0</v>
      </c>
      <c r="H538" s="18">
        <v>0</v>
      </c>
      <c r="I538" s="18">
        <v>0</v>
      </c>
      <c r="J538" s="18">
        <v>0</v>
      </c>
      <c r="K538" s="18">
        <v>0</v>
      </c>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269770.35443999997</v>
      </c>
      <c r="I541" s="18">
        <v>0</v>
      </c>
      <c r="J541" s="18">
        <v>0</v>
      </c>
      <c r="K541" s="18">
        <v>0</v>
      </c>
      <c r="L541" s="88">
        <f>SUM(F541:K541)</f>
        <v>269770.35443999997</v>
      </c>
      <c r="M541" s="8"/>
      <c r="N541" s="266"/>
    </row>
    <row r="542" spans="1:14" s="3" customFormat="1" ht="12.2" customHeight="1" x14ac:dyDescent="0.15">
      <c r="A542" s="22" t="s">
        <v>634</v>
      </c>
      <c r="B542" s="105">
        <v>21</v>
      </c>
      <c r="C542" s="105">
        <v>18</v>
      </c>
      <c r="D542" s="2" t="s">
        <v>432</v>
      </c>
      <c r="E542" s="105"/>
      <c r="F542" s="18">
        <v>0</v>
      </c>
      <c r="G542" s="18">
        <v>0</v>
      </c>
      <c r="H542" s="18">
        <v>0</v>
      </c>
      <c r="I542" s="18">
        <v>0</v>
      </c>
      <c r="J542" s="18">
        <v>0</v>
      </c>
      <c r="K542" s="18">
        <v>0</v>
      </c>
      <c r="L542" s="88">
        <f>SUM(F542:K542)</f>
        <v>0</v>
      </c>
      <c r="M542" s="8"/>
      <c r="N542" s="266"/>
    </row>
    <row r="543" spans="1:14" s="3" customFormat="1" ht="12.2" customHeight="1" thickBot="1" x14ac:dyDescent="0.2">
      <c r="A543" s="22" t="s">
        <v>635</v>
      </c>
      <c r="B543" s="105">
        <v>21</v>
      </c>
      <c r="C543" s="105">
        <v>19</v>
      </c>
      <c r="D543" s="2" t="s">
        <v>432</v>
      </c>
      <c r="E543" s="105"/>
      <c r="F543" s="18">
        <v>0</v>
      </c>
      <c r="G543" s="18">
        <v>0</v>
      </c>
      <c r="H543" s="18">
        <v>116167.20556</v>
      </c>
      <c r="I543" s="18">
        <v>0</v>
      </c>
      <c r="J543" s="18">
        <v>0</v>
      </c>
      <c r="K543" s="18">
        <v>0</v>
      </c>
      <c r="L543" s="88">
        <f>SUM(F543:K543)</f>
        <v>116167.20556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385937.55999999994</v>
      </c>
      <c r="I544" s="193">
        <f t="shared" si="40"/>
        <v>0</v>
      </c>
      <c r="J544" s="193">
        <f t="shared" si="40"/>
        <v>0</v>
      </c>
      <c r="K544" s="193">
        <f t="shared" si="40"/>
        <v>0</v>
      </c>
      <c r="L544" s="193">
        <f t="shared" si="40"/>
        <v>385937.55999999994</v>
      </c>
      <c r="M544" s="8"/>
      <c r="N544" s="266"/>
    </row>
    <row r="545" spans="1:14" s="3" customFormat="1" ht="12.2" customHeight="1" thickTop="1" x14ac:dyDescent="0.15">
      <c r="A545" s="98" t="s">
        <v>72</v>
      </c>
      <c r="B545" s="107">
        <v>21</v>
      </c>
      <c r="C545" s="107">
        <v>21</v>
      </c>
      <c r="D545" s="158" t="s">
        <v>432</v>
      </c>
      <c r="E545" s="107"/>
      <c r="F545" s="89">
        <f>F524+F529+F534+F539+F544</f>
        <v>3524623.8499999996</v>
      </c>
      <c r="G545" s="89">
        <f t="shared" ref="G545:L545" si="41">G524+G529+G534+G539+G544</f>
        <v>1293344.1499999999</v>
      </c>
      <c r="H545" s="89">
        <f t="shared" si="41"/>
        <v>2190240.9299999997</v>
      </c>
      <c r="I545" s="89">
        <f t="shared" si="41"/>
        <v>38882.81</v>
      </c>
      <c r="J545" s="89">
        <f t="shared" si="41"/>
        <v>37533.96</v>
      </c>
      <c r="K545" s="89">
        <f t="shared" si="41"/>
        <v>11161.61</v>
      </c>
      <c r="L545" s="89">
        <f t="shared" si="41"/>
        <v>7095787.3099999996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3722857.1616799994</v>
      </c>
      <c r="G549" s="87">
        <f>L526</f>
        <v>712588.51620000007</v>
      </c>
      <c r="H549" s="87">
        <f>L531</f>
        <v>247241.66133</v>
      </c>
      <c r="I549" s="87">
        <f>L536</f>
        <v>0</v>
      </c>
      <c r="J549" s="87">
        <f>L541</f>
        <v>269770.35443999997</v>
      </c>
      <c r="K549" s="87">
        <f>SUM(F549:J549)</f>
        <v>4952457.6936499989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1553357.1483200002</v>
      </c>
      <c r="G551" s="87">
        <f>L528</f>
        <v>367339.25380000001</v>
      </c>
      <c r="H551" s="87">
        <f>L533</f>
        <v>106466.00866999998</v>
      </c>
      <c r="I551" s="87">
        <f>L538</f>
        <v>0</v>
      </c>
      <c r="J551" s="87">
        <f>L543</f>
        <v>116167.20556</v>
      </c>
      <c r="K551" s="87">
        <f>SUM(F551:J551)</f>
        <v>2143329.6163500003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5276214.3099999996</v>
      </c>
      <c r="G552" s="89">
        <f t="shared" si="42"/>
        <v>1079927.77</v>
      </c>
      <c r="H552" s="89">
        <f t="shared" si="42"/>
        <v>353707.67</v>
      </c>
      <c r="I552" s="89">
        <f t="shared" si="42"/>
        <v>0</v>
      </c>
      <c r="J552" s="89">
        <f t="shared" si="42"/>
        <v>385937.55999999994</v>
      </c>
      <c r="K552" s="89">
        <f t="shared" si="42"/>
        <v>7095787.3099999987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41912.04</v>
      </c>
      <c r="G562" s="18">
        <v>26411.526270000002</v>
      </c>
      <c r="H562" s="18">
        <v>0</v>
      </c>
      <c r="I562" s="18">
        <v>664.54629</v>
      </c>
      <c r="J562" s="18">
        <v>0</v>
      </c>
      <c r="K562" s="18">
        <v>0</v>
      </c>
      <c r="L562" s="88">
        <f>SUM(F562:K562)</f>
        <v>68988.112560000009</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v>18047.96</v>
      </c>
      <c r="G564" s="18">
        <v>11373.203729999999</v>
      </c>
      <c r="H564" s="18">
        <v>0</v>
      </c>
      <c r="I564" s="18">
        <v>286.16370999999998</v>
      </c>
      <c r="J564" s="18">
        <v>0</v>
      </c>
      <c r="K564" s="18">
        <v>0</v>
      </c>
      <c r="L564" s="88">
        <f>SUM(F564:K564)</f>
        <v>29707.327440000001</v>
      </c>
      <c r="M564" s="8"/>
      <c r="N564" s="266"/>
    </row>
    <row r="565" spans="1:14" s="3" customFormat="1" ht="12.2" customHeight="1" thickTop="1" x14ac:dyDescent="0.15">
      <c r="A565" s="139" t="s">
        <v>65</v>
      </c>
      <c r="B565" s="107">
        <v>22</v>
      </c>
      <c r="C565" s="107">
        <v>8</v>
      </c>
      <c r="D565" s="196" t="s">
        <v>432</v>
      </c>
      <c r="E565" s="107"/>
      <c r="F565" s="89">
        <f t="shared" ref="F565:L565" si="44">SUM(F562:F564)</f>
        <v>59960</v>
      </c>
      <c r="G565" s="89">
        <f t="shared" si="44"/>
        <v>37784.730000000003</v>
      </c>
      <c r="H565" s="89">
        <f t="shared" si="44"/>
        <v>0</v>
      </c>
      <c r="I565" s="89">
        <f t="shared" si="44"/>
        <v>950.71</v>
      </c>
      <c r="J565" s="89">
        <f t="shared" si="44"/>
        <v>0</v>
      </c>
      <c r="K565" s="89">
        <f t="shared" si="44"/>
        <v>0</v>
      </c>
      <c r="L565" s="89">
        <f t="shared" si="44"/>
        <v>98695.44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59960</v>
      </c>
      <c r="G571" s="89">
        <f t="shared" ref="G571:L571" si="46">G560+G565+G570</f>
        <v>37784.730000000003</v>
      </c>
      <c r="H571" s="89">
        <f t="shared" si="46"/>
        <v>0</v>
      </c>
      <c r="I571" s="89">
        <f t="shared" si="46"/>
        <v>950.71</v>
      </c>
      <c r="J571" s="89">
        <f t="shared" si="46"/>
        <v>0</v>
      </c>
      <c r="K571" s="89">
        <f t="shared" si="46"/>
        <v>0</v>
      </c>
      <c r="L571" s="89">
        <f t="shared" si="46"/>
        <v>98695.44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16514.84</v>
      </c>
      <c r="G579" s="18">
        <v>0</v>
      </c>
      <c r="H579" s="18">
        <v>0</v>
      </c>
      <c r="I579" s="87">
        <f t="shared" si="47"/>
        <v>16514.84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308268.12</v>
      </c>
      <c r="G582" s="18">
        <v>0</v>
      </c>
      <c r="H582" s="18">
        <v>547512.56999999995</v>
      </c>
      <c r="I582" s="87">
        <f t="shared" si="47"/>
        <v>855780.69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27619.9</v>
      </c>
      <c r="G583" s="18">
        <v>0</v>
      </c>
      <c r="H583" s="18">
        <v>214368.15</v>
      </c>
      <c r="I583" s="87">
        <f t="shared" si="47"/>
        <v>241988.05</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710537.39</v>
      </c>
      <c r="I591" s="18">
        <v>0</v>
      </c>
      <c r="J591" s="18">
        <v>366034.42</v>
      </c>
      <c r="K591" s="104">
        <f t="shared" ref="K591:K597" si="48">SUM(H591:J591)</f>
        <v>1076571.81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269770.34999999998</v>
      </c>
      <c r="I592" s="18">
        <v>0</v>
      </c>
      <c r="J592" s="18">
        <v>116167.21</v>
      </c>
      <c r="K592" s="104">
        <f t="shared" si="48"/>
        <v>385937.56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125141.93</v>
      </c>
      <c r="K593" s="104">
        <f t="shared" si="48"/>
        <v>125141.93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17861.86</v>
      </c>
      <c r="I594" s="18"/>
      <c r="J594" s="18">
        <v>79600.08</v>
      </c>
      <c r="K594" s="104">
        <f t="shared" si="48"/>
        <v>97461.94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0</v>
      </c>
      <c r="I595" s="18"/>
      <c r="J595" s="18">
        <v>2829.51</v>
      </c>
      <c r="K595" s="104">
        <f t="shared" si="48"/>
        <v>2829.51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998169.59999999998</v>
      </c>
      <c r="I598" s="108">
        <f>SUM(I591:I597)</f>
        <v>0</v>
      </c>
      <c r="J598" s="108">
        <f>SUM(J591:J597)</f>
        <v>689773.15</v>
      </c>
      <c r="K598" s="108">
        <f>SUM(K591:K597)</f>
        <v>1687942.75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396198.42</v>
      </c>
      <c r="I604" s="18">
        <v>0</v>
      </c>
      <c r="J604" s="18">
        <v>139256.78</v>
      </c>
      <c r="K604" s="104">
        <f>SUM(H604:J604)</f>
        <v>535455.19999999995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396198.42</v>
      </c>
      <c r="I605" s="108">
        <f>SUM(I602:I604)</f>
        <v>0</v>
      </c>
      <c r="J605" s="108">
        <f>SUM(J602:J604)</f>
        <v>139256.78</v>
      </c>
      <c r="K605" s="108">
        <f>SUM(K602:K604)</f>
        <v>535455.19999999995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53251.749239999997</v>
      </c>
      <c r="G611" s="18">
        <v>9822.1033499999994</v>
      </c>
      <c r="H611" s="18">
        <v>131043.16566</v>
      </c>
      <c r="I611" s="18">
        <v>475.84424999999999</v>
      </c>
      <c r="J611" s="18">
        <v>0</v>
      </c>
      <c r="K611" s="18">
        <v>0</v>
      </c>
      <c r="L611" s="88">
        <f>SUM(F611:K611)</f>
        <v>194592.86249999999</v>
      </c>
      <c r="M611" s="8"/>
      <c r="N611" s="266"/>
    </row>
    <row r="612" spans="1:14" s="3" customFormat="1" ht="12.2" customHeight="1" x14ac:dyDescent="0.15">
      <c r="A612" s="22" t="s">
        <v>634</v>
      </c>
      <c r="B612" s="75">
        <v>23</v>
      </c>
      <c r="C612" s="75">
        <v>14</v>
      </c>
      <c r="D612" s="2" t="s">
        <v>432</v>
      </c>
      <c r="E612" s="75"/>
      <c r="F612" s="18">
        <v>0</v>
      </c>
      <c r="G612" s="18">
        <v>0</v>
      </c>
      <c r="H612" s="18">
        <v>0</v>
      </c>
      <c r="I612" s="18">
        <v>0</v>
      </c>
      <c r="J612" s="18">
        <v>0</v>
      </c>
      <c r="K612" s="18">
        <v>0</v>
      </c>
      <c r="L612" s="88">
        <f>SUM(F612:K612)</f>
        <v>0</v>
      </c>
      <c r="M612" s="8"/>
      <c r="N612" s="266"/>
    </row>
    <row r="613" spans="1:14" s="3" customFormat="1" ht="12.2" customHeight="1" thickBot="1" x14ac:dyDescent="0.2">
      <c r="A613" s="22" t="s">
        <v>645</v>
      </c>
      <c r="B613" s="75">
        <v>23</v>
      </c>
      <c r="C613" s="75">
        <v>15</v>
      </c>
      <c r="D613" s="2" t="s">
        <v>432</v>
      </c>
      <c r="E613" s="75"/>
      <c r="F613" s="18">
        <v>22931.010760000001</v>
      </c>
      <c r="G613" s="18">
        <v>4229.5466500000002</v>
      </c>
      <c r="H613" s="18">
        <v>56429.174339999998</v>
      </c>
      <c r="I613" s="18">
        <v>204.90575000000001</v>
      </c>
      <c r="J613" s="18">
        <v>0</v>
      </c>
      <c r="K613" s="18">
        <v>0</v>
      </c>
      <c r="L613" s="88">
        <f>SUM(F613:K613)</f>
        <v>83794.637500000012</v>
      </c>
      <c r="M613" s="8"/>
      <c r="N613" s="266"/>
    </row>
    <row r="614" spans="1:14" s="3" customFormat="1" ht="12.2" customHeight="1" thickTop="1" x14ac:dyDescent="0.15">
      <c r="A614" s="98" t="s">
        <v>340</v>
      </c>
      <c r="B614" s="107">
        <v>23</v>
      </c>
      <c r="C614" s="107">
        <v>16</v>
      </c>
      <c r="D614" s="39" t="s">
        <v>432</v>
      </c>
      <c r="E614" s="107"/>
      <c r="F614" s="108">
        <f t="shared" ref="F614:L614" si="49">SUM(F611:F613)</f>
        <v>76182.759999999995</v>
      </c>
      <c r="G614" s="108">
        <f t="shared" si="49"/>
        <v>14051.65</v>
      </c>
      <c r="H614" s="108">
        <f t="shared" si="49"/>
        <v>187472.34</v>
      </c>
      <c r="I614" s="108">
        <f t="shared" si="49"/>
        <v>680.75</v>
      </c>
      <c r="J614" s="108">
        <f t="shared" si="49"/>
        <v>0</v>
      </c>
      <c r="K614" s="108">
        <f t="shared" si="49"/>
        <v>0</v>
      </c>
      <c r="L614" s="89">
        <f t="shared" si="49"/>
        <v>278387.5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2320730.7299999995</v>
      </c>
      <c r="H617" s="109">
        <f>SUM(F52)</f>
        <v>2320730.73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258154.43</v>
      </c>
      <c r="H618" s="109">
        <f>SUM(G52)</f>
        <v>258154.43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202295.86</v>
      </c>
      <c r="H619" s="109">
        <f>SUM(H52)</f>
        <v>202295.86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515352.67</v>
      </c>
      <c r="H621" s="109">
        <f>SUM(J52)</f>
        <v>515352.67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1615915.71</v>
      </c>
      <c r="H622" s="109">
        <f>F476</f>
        <v>1615915.7100000009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242188.79999999999</v>
      </c>
      <c r="H623" s="109">
        <f>G476</f>
        <v>242188.80000000005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515352.67</v>
      </c>
      <c r="H626" s="109">
        <f>J476</f>
        <v>515352.67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29006148.57</v>
      </c>
      <c r="H627" s="104">
        <f>SUM(F468)</f>
        <v>29006148.57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860450.81</v>
      </c>
      <c r="H628" s="104">
        <f>SUM(G468)</f>
        <v>860450.81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627921.12999999989</v>
      </c>
      <c r="H629" s="104">
        <f>SUM(H468)</f>
        <v>627921.13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24134.2</v>
      </c>
      <c r="H631" s="104">
        <f>SUM(J468)</f>
        <v>24134.2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29518802.816000003</v>
      </c>
      <c r="H632" s="104">
        <f>SUM(F472)</f>
        <v>29518802.82</v>
      </c>
      <c r="I632" s="140" t="s">
        <v>111</v>
      </c>
      <c r="J632" s="109">
        <f t="shared" si="50"/>
        <v>-3.9999969303607941E-3</v>
      </c>
      <c r="K632" s="85"/>
      <c r="L632" s="88"/>
      <c r="M632" s="8"/>
    </row>
    <row r="633" spans="1:13" s="3" customFormat="1" ht="12.2" customHeight="1" x14ac:dyDescent="0.15">
      <c r="A633" s="22"/>
      <c r="B633" s="105"/>
      <c r="C633" s="105"/>
      <c r="D633" s="105"/>
      <c r="E633" s="105"/>
      <c r="F633" s="120" t="s">
        <v>395</v>
      </c>
      <c r="G633" s="109">
        <f>SUM(L352)</f>
        <v>627921.13</v>
      </c>
      <c r="H633" s="104">
        <f>SUM(H472)</f>
        <v>627921.13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377603.53</v>
      </c>
      <c r="H634" s="104">
        <f>I369</f>
        <v>377603.53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840981.27</v>
      </c>
      <c r="H635" s="104">
        <f>SUM(G472)</f>
        <v>840981.27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24134.2</v>
      </c>
      <c r="H637" s="164">
        <f>SUM(J468)</f>
        <v>24134.2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206127.43</v>
      </c>
      <c r="H639" s="104">
        <f>SUM(F461)</f>
        <v>206127.43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309225.24</v>
      </c>
      <c r="H640" s="104">
        <f>SUM(G461)</f>
        <v>309225.24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515352.67</v>
      </c>
      <c r="H642" s="104">
        <f>SUM(I461)</f>
        <v>515352.67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24134.2</v>
      </c>
      <c r="H644" s="104">
        <f>H408</f>
        <v>24134.2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24134.2</v>
      </c>
      <c r="H646" s="104">
        <f>L408</f>
        <v>24134.2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1687942.75</v>
      </c>
      <c r="H647" s="104">
        <f>L208+L226+L244</f>
        <v>1687942.75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535455.19999999995</v>
      </c>
      <c r="H648" s="104">
        <f>(J257+J338)-(J255+J336)</f>
        <v>535455.19999999995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998169.59904</v>
      </c>
      <c r="H649" s="104">
        <f>H598</f>
        <v>998169.59999999998</v>
      </c>
      <c r="I649" s="140" t="s">
        <v>388</v>
      </c>
      <c r="J649" s="109">
        <f t="shared" si="50"/>
        <v>-9.5999997574836016E-4</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689773.15096</v>
      </c>
      <c r="H651" s="104">
        <f>J598</f>
        <v>689773.15</v>
      </c>
      <c r="I651" s="140" t="s">
        <v>390</v>
      </c>
      <c r="J651" s="109">
        <f t="shared" si="50"/>
        <v>9.5999997574836016E-4</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-3.9999932050704956E-3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17731409.116530001</v>
      </c>
      <c r="G660" s="19">
        <f>(L229+L309+L359)</f>
        <v>0</v>
      </c>
      <c r="H660" s="19">
        <f>(L247+L328+L360)</f>
        <v>10687189.159470001</v>
      </c>
      <c r="I660" s="19">
        <f>SUM(F660:H660)</f>
        <v>28418598.276000001</v>
      </c>
      <c r="J660" s="13"/>
      <c r="K660" s="13"/>
      <c r="L660" s="13"/>
      <c r="M660" s="9"/>
    </row>
    <row r="661" spans="1:13" s="3" customFormat="1" ht="12.2" customHeight="1" x14ac:dyDescent="0.2">
      <c r="A661" s="1" t="s">
        <v>127</v>
      </c>
      <c r="F661" s="19">
        <f>(L358/IF(SUM(L358:L360)=0,1,SUM(L358:L360))*(SUM(G97:G110)))</f>
        <v>430149.63672221324</v>
      </c>
      <c r="G661" s="19">
        <f>(L359/IF(SUM(L358:L360)=0,1,SUM(L358:L360))*(SUM(G97:G110)))</f>
        <v>0</v>
      </c>
      <c r="H661" s="19">
        <f>(L360/IF(SUM(L358:L360)=0,1,SUM(L358:L360))*(SUM(G97:G110)))</f>
        <v>243453.4832777867</v>
      </c>
      <c r="I661" s="19">
        <f>SUM(F661:H661)</f>
        <v>673603.11999999988</v>
      </c>
      <c r="J661"/>
      <c r="K661" s="13"/>
      <c r="L661" s="13"/>
      <c r="M661" s="9"/>
    </row>
    <row r="662" spans="1:13" s="3" customFormat="1" ht="12.2" customHeight="1" x14ac:dyDescent="0.2">
      <c r="A662" s="1" t="s">
        <v>128</v>
      </c>
      <c r="F662" s="19">
        <f>(L208+L287)-(J208+J287)</f>
        <v>999432.68064000004</v>
      </c>
      <c r="G662" s="19">
        <f>(L226+L306)-(J226+J306)</f>
        <v>0</v>
      </c>
      <c r="H662" s="19">
        <f>(L244+L325)-(J244+J325)</f>
        <v>690423.82935999997</v>
      </c>
      <c r="I662" s="19">
        <f>SUM(F662:H662)</f>
        <v>1689856.51</v>
      </c>
      <c r="J662"/>
      <c r="K662" s="13"/>
      <c r="L662" s="13"/>
      <c r="M662" s="8"/>
    </row>
    <row r="663" spans="1:13" s="3" customFormat="1" ht="12.2" customHeight="1" x14ac:dyDescent="0.15">
      <c r="A663" s="198" t="s">
        <v>129</v>
      </c>
      <c r="B663" s="169"/>
      <c r="C663" s="169"/>
      <c r="D663" s="169"/>
      <c r="E663" s="169"/>
      <c r="F663" s="199">
        <f>SUM(F575:F587)+SUM(H602:H604)+SUM(L611)</f>
        <v>943194.14250000007</v>
      </c>
      <c r="G663" s="199">
        <f>SUM(G575:G587)+SUM(I602:I604)+L612</f>
        <v>0</v>
      </c>
      <c r="H663" s="199">
        <f>SUM(H575:H587)+SUM(J602:J604)+L613</f>
        <v>984932.13749999995</v>
      </c>
      <c r="I663" s="19">
        <f>SUM(F663:H663)</f>
        <v>1928126.28</v>
      </c>
      <c r="J663" s="13"/>
      <c r="K663" s="13"/>
      <c r="L663" s="13"/>
      <c r="M663" s="9"/>
    </row>
    <row r="664" spans="1:13" s="3" customFormat="1" ht="12.2" customHeight="1" x14ac:dyDescent="0.15">
      <c r="A664" s="1" t="s">
        <v>130</v>
      </c>
      <c r="F664" s="19">
        <f>F660-SUM(F661:F663)</f>
        <v>15358632.656667788</v>
      </c>
      <c r="G664" s="19">
        <f>G660-SUM(G661:G663)</f>
        <v>0</v>
      </c>
      <c r="H664" s="19">
        <f>H660-SUM(H661:H663)</f>
        <v>8768379.7093322147</v>
      </c>
      <c r="I664" s="19">
        <f>I660-SUM(I661:I663)</f>
        <v>24127012.366</v>
      </c>
      <c r="J664" s="13"/>
      <c r="K664" s="13"/>
      <c r="L664" s="13"/>
      <c r="M664" s="9"/>
    </row>
    <row r="665" spans="1:13" s="3" customFormat="1" ht="12.2" customHeight="1" x14ac:dyDescent="0.2">
      <c r="A665" s="1" t="s">
        <v>131</v>
      </c>
      <c r="F665" s="246">
        <v>1185.25</v>
      </c>
      <c r="G665" s="247">
        <v>0</v>
      </c>
      <c r="H665" s="247">
        <v>612.98</v>
      </c>
      <c r="I665" s="19">
        <f>SUM(F665:H665)</f>
        <v>1798.23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12958.14</v>
      </c>
      <c r="G667" s="19" t="e">
        <f>ROUND(G664/G665,2)</f>
        <v>#DIV/0!</v>
      </c>
      <c r="H667" s="19">
        <f>ROUND(H664/H665,2)</f>
        <v>14304.51</v>
      </c>
      <c r="I667" s="19">
        <f>ROUND(I664/I665,2)</f>
        <v>13417.09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-14.11</v>
      </c>
      <c r="I670" s="19">
        <f>SUM(F670:H670)</f>
        <v>-14.11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12958.14</v>
      </c>
      <c r="G672" s="19" t="e">
        <f>ROUND((G664+G669)/(G665+G670),2)</f>
        <v>#DIV/0!</v>
      </c>
      <c r="H672" s="19">
        <f>ROUND((H664+H669)/(H665+H670),2)</f>
        <v>14641.54</v>
      </c>
      <c r="I672" s="19">
        <f>ROUND((I664+I669)/(I665+I670),2)</f>
        <v>13523.2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PELHAM SCHOOL DISTRICT, SAU28</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6476705.0399999991</v>
      </c>
      <c r="C9" s="229">
        <f>'DOE25'!G197+'DOE25'!G215+'DOE25'!G233+'DOE25'!G276+'DOE25'!G295+'DOE25'!G314</f>
        <v>3234995.45</v>
      </c>
    </row>
    <row r="10" spans="1:3" x14ac:dyDescent="0.2">
      <c r="A10" t="s">
        <v>775</v>
      </c>
      <c r="B10" s="240">
        <v>6172885.3700000001</v>
      </c>
      <c r="C10" s="240">
        <v>3092711.27</v>
      </c>
    </row>
    <row r="11" spans="1:3" x14ac:dyDescent="0.2">
      <c r="A11" t="s">
        <v>776</v>
      </c>
      <c r="B11" s="240">
        <v>187180.55</v>
      </c>
      <c r="C11" s="240">
        <v>132804.92000000001</v>
      </c>
    </row>
    <row r="12" spans="1:3" x14ac:dyDescent="0.2">
      <c r="A12" t="s">
        <v>777</v>
      </c>
      <c r="B12" s="240">
        <v>116639.12</v>
      </c>
      <c r="C12" s="240">
        <v>9479.26</v>
      </c>
    </row>
    <row r="13" spans="1:3" x14ac:dyDescent="0.2">
      <c r="A13" t="str">
        <f>IF(B9=B13,IF(C9=C13,"Check Total OK","Check Total Error"),"Check Total Error")</f>
        <v>Check Total OK</v>
      </c>
      <c r="B13" s="231">
        <f>SUM(B10:B12)</f>
        <v>6476705.04</v>
      </c>
      <c r="C13" s="231">
        <f>SUM(C10:C12)</f>
        <v>3234995.4499999997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2840290.41</v>
      </c>
      <c r="C18" s="229">
        <f>'DOE25'!G198+'DOE25'!G216+'DOE25'!G234+'DOE25'!G277+'DOE25'!G296+'DOE25'!G315</f>
        <v>1025902.11</v>
      </c>
    </row>
    <row r="19" spans="1:3" x14ac:dyDescent="0.2">
      <c r="A19" t="s">
        <v>775</v>
      </c>
      <c r="B19" s="240">
        <v>1800326.89</v>
      </c>
      <c r="C19" s="240">
        <v>930061.41</v>
      </c>
    </row>
    <row r="20" spans="1:3" x14ac:dyDescent="0.2">
      <c r="A20" t="s">
        <v>776</v>
      </c>
      <c r="B20" s="240">
        <v>1005360.51</v>
      </c>
      <c r="C20" s="240">
        <v>91614.79</v>
      </c>
    </row>
    <row r="21" spans="1:3" x14ac:dyDescent="0.2">
      <c r="A21" t="s">
        <v>777</v>
      </c>
      <c r="B21" s="240">
        <v>34603.01</v>
      </c>
      <c r="C21" s="240">
        <v>4225.91</v>
      </c>
    </row>
    <row r="22" spans="1:3" x14ac:dyDescent="0.2">
      <c r="A22" t="str">
        <f>IF(B18=B22,IF(C18=C22,"Check Total OK","Check Total Error"),"Check Total Error")</f>
        <v>Check Total OK</v>
      </c>
      <c r="B22" s="231">
        <f>SUM(B19:B21)</f>
        <v>2840290.4099999997</v>
      </c>
      <c r="C22" s="231">
        <f>SUM(C19:C21)</f>
        <v>1025902.1100000001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360859.41000000003</v>
      </c>
      <c r="C36" s="235">
        <f>'DOE25'!G200+'DOE25'!G218+'DOE25'!G236+'DOE25'!G279+'DOE25'!G298+'DOE25'!G317</f>
        <v>103352.81</v>
      </c>
    </row>
    <row r="37" spans="1:3" x14ac:dyDescent="0.2">
      <c r="A37" t="s">
        <v>775</v>
      </c>
      <c r="B37" s="240">
        <v>115375.23</v>
      </c>
      <c r="C37" s="240">
        <v>44418.98</v>
      </c>
    </row>
    <row r="38" spans="1:3" x14ac:dyDescent="0.2">
      <c r="A38" t="s">
        <v>776</v>
      </c>
      <c r="B38" s="240">
        <v>0</v>
      </c>
      <c r="C38" s="240">
        <v>0</v>
      </c>
    </row>
    <row r="39" spans="1:3" x14ac:dyDescent="0.2">
      <c r="A39" t="s">
        <v>777</v>
      </c>
      <c r="B39" s="240">
        <v>245484.18</v>
      </c>
      <c r="C39" s="240">
        <v>58933.83</v>
      </c>
    </row>
    <row r="40" spans="1:3" x14ac:dyDescent="0.2">
      <c r="A40" t="str">
        <f>IF(B36=B40,IF(C36=C40,"Check Total OK","Check Total Error"),"Check Total Error")</f>
        <v>Check Total OK</v>
      </c>
      <c r="B40" s="231">
        <f>SUM(B37:B39)</f>
        <v>360859.41</v>
      </c>
      <c r="C40" s="231">
        <f>SUM(C37:C39)</f>
        <v>103352.81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PELHAM SCHOOL DISTRICT, SAU28</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15850438.59</v>
      </c>
      <c r="D5" s="20">
        <f>SUM('DOE25'!L197:L200)+SUM('DOE25'!L215:L218)+SUM('DOE25'!L233:L236)-F5-G5-H5</f>
        <v>15613043.270000001</v>
      </c>
      <c r="E5" s="243"/>
      <c r="F5" s="244"/>
      <c r="G5" s="53">
        <f>SUM('DOE25'!J197:J200)+SUM('DOE25'!J215:J218)+SUM('DOE25'!J233:J236)</f>
        <v>187412.45</v>
      </c>
      <c r="H5" s="53">
        <f>SUM('DOE25'!K197:K200)+SUM('DOE25'!K215:K218)+SUM('DOE25'!K233:K236)</f>
        <v>49982.869999999995</v>
      </c>
      <c r="I5" s="256"/>
    </row>
    <row r="6" spans="1:9" x14ac:dyDescent="0.2">
      <c r="A6" s="32">
        <v>2100</v>
      </c>
      <c r="B6" t="s">
        <v>796</v>
      </c>
      <c r="C6" s="276">
        <f t="shared" si="0"/>
        <v>2494493.79</v>
      </c>
      <c r="D6" s="20">
        <f>'DOE25'!L202+'DOE25'!L220+'DOE25'!L238-F6-G6-H6</f>
        <v>2485883.39</v>
      </c>
      <c r="E6" s="243"/>
      <c r="F6" s="244"/>
      <c r="G6" s="53">
        <f>'DOE25'!J202+'DOE25'!J220+'DOE25'!J238</f>
        <v>4407.58</v>
      </c>
      <c r="H6" s="53">
        <f>'DOE25'!K202+'DOE25'!K220+'DOE25'!K238</f>
        <v>4202.82</v>
      </c>
      <c r="I6" s="256"/>
    </row>
    <row r="7" spans="1:9" x14ac:dyDescent="0.2">
      <c r="A7" s="32">
        <v>2200</v>
      </c>
      <c r="B7" t="s">
        <v>821</v>
      </c>
      <c r="C7" s="276">
        <f t="shared" si="0"/>
        <v>897737.07999999984</v>
      </c>
      <c r="D7" s="20">
        <f>'DOE25'!L203+'DOE25'!L221+'DOE25'!L239-F7-G7-H7</f>
        <v>854060.10999999975</v>
      </c>
      <c r="E7" s="243"/>
      <c r="F7" s="244"/>
      <c r="G7" s="53">
        <f>'DOE25'!J203+'DOE25'!J221+'DOE25'!J239</f>
        <v>37770.060000000005</v>
      </c>
      <c r="H7" s="53">
        <f>'DOE25'!K203+'DOE25'!K221+'DOE25'!K239</f>
        <v>5906.91</v>
      </c>
      <c r="I7" s="256"/>
    </row>
    <row r="8" spans="1:9" x14ac:dyDescent="0.2">
      <c r="A8" s="32">
        <v>2300</v>
      </c>
      <c r="B8" t="s">
        <v>797</v>
      </c>
      <c r="C8" s="276">
        <f t="shared" si="0"/>
        <v>748973.13</v>
      </c>
      <c r="D8" s="243"/>
      <c r="E8" s="20">
        <f>'DOE25'!L204+'DOE25'!L222+'DOE25'!L240-F8-G8-H8-D9-D11</f>
        <v>724105.44000000006</v>
      </c>
      <c r="F8" s="244"/>
      <c r="G8" s="53">
        <f>'DOE25'!J204+'DOE25'!J222+'DOE25'!J240</f>
        <v>4727.96</v>
      </c>
      <c r="H8" s="53">
        <f>'DOE25'!K204+'DOE25'!K222+'DOE25'!K240</f>
        <v>20139.73</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1521915.7999999998</v>
      </c>
      <c r="D12" s="20">
        <f>'DOE25'!L205+'DOE25'!L223+'DOE25'!L241-F12-G12-H12</f>
        <v>1497563.0999999999</v>
      </c>
      <c r="E12" s="243"/>
      <c r="F12" s="244"/>
      <c r="G12" s="53">
        <f>'DOE25'!J205+'DOE25'!J223+'DOE25'!J241</f>
        <v>1186.49</v>
      </c>
      <c r="H12" s="53">
        <f>'DOE25'!K205+'DOE25'!K223+'DOE25'!K241</f>
        <v>23166.21</v>
      </c>
      <c r="I12" s="256"/>
    </row>
    <row r="13" spans="1:9" x14ac:dyDescent="0.2">
      <c r="A13" s="32">
        <v>2500</v>
      </c>
      <c r="B13" t="s">
        <v>798</v>
      </c>
      <c r="C13" s="276">
        <f t="shared" si="0"/>
        <v>396074.27999999997</v>
      </c>
      <c r="D13" s="243"/>
      <c r="E13" s="20">
        <f>'DOE25'!L206+'DOE25'!L224+'DOE25'!L242-F13-G13-H13</f>
        <v>388234.14999999997</v>
      </c>
      <c r="F13" s="244"/>
      <c r="G13" s="53">
        <f>'DOE25'!J206+'DOE25'!J224+'DOE25'!J242</f>
        <v>1545.71</v>
      </c>
      <c r="H13" s="53">
        <f>'DOE25'!K206+'DOE25'!K224+'DOE25'!K242</f>
        <v>6294.42</v>
      </c>
      <c r="I13" s="256"/>
    </row>
    <row r="14" spans="1:9" x14ac:dyDescent="0.2">
      <c r="A14" s="32">
        <v>2600</v>
      </c>
      <c r="B14" t="s">
        <v>819</v>
      </c>
      <c r="C14" s="276">
        <f t="shared" si="0"/>
        <v>2325838.0099999998</v>
      </c>
      <c r="D14" s="20">
        <f>'DOE25'!L207+'DOE25'!L225+'DOE25'!L243-F14-G14-H14</f>
        <v>2242201.9499999997</v>
      </c>
      <c r="E14" s="243"/>
      <c r="F14" s="244"/>
      <c r="G14" s="53">
        <f>'DOE25'!J207+'DOE25'!J225+'DOE25'!J243</f>
        <v>83273.059999999983</v>
      </c>
      <c r="H14" s="53">
        <f>'DOE25'!K207+'DOE25'!K225+'DOE25'!K243</f>
        <v>363</v>
      </c>
      <c r="I14" s="256"/>
    </row>
    <row r="15" spans="1:9" x14ac:dyDescent="0.2">
      <c r="A15" s="32">
        <v>2700</v>
      </c>
      <c r="B15" t="s">
        <v>799</v>
      </c>
      <c r="C15" s="276">
        <f t="shared" si="0"/>
        <v>1687942.75</v>
      </c>
      <c r="D15" s="20">
        <f>'DOE25'!L208+'DOE25'!L226+'DOE25'!L244-F15-G15-H15</f>
        <v>1687942.75</v>
      </c>
      <c r="E15" s="243"/>
      <c r="F15" s="244"/>
      <c r="G15" s="53">
        <f>'DOE25'!J208+'DOE25'!J226+'DOE25'!J244</f>
        <v>0</v>
      </c>
      <c r="H15" s="53">
        <f>'DOE25'!K208+'DOE25'!K226+'DOE25'!K244</f>
        <v>0</v>
      </c>
      <c r="I15" s="256"/>
    </row>
    <row r="16" spans="1:9" x14ac:dyDescent="0.2">
      <c r="A16" s="32">
        <v>2800</v>
      </c>
      <c r="B16" t="s">
        <v>800</v>
      </c>
      <c r="C16" s="276">
        <f t="shared" si="0"/>
        <v>1026282.446</v>
      </c>
      <c r="D16" s="243"/>
      <c r="E16" s="20">
        <f>'DOE25'!L209+'DOE25'!L227+'DOE25'!L245-F16-G16-H16</f>
        <v>827393.41</v>
      </c>
      <c r="F16" s="244"/>
      <c r="G16" s="53">
        <f>'DOE25'!J209+'DOE25'!J227+'DOE25'!J245</f>
        <v>198229</v>
      </c>
      <c r="H16" s="53">
        <f>'DOE25'!K209+'DOE25'!K227+'DOE25'!K245</f>
        <v>660.03600000000006</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780951.94</v>
      </c>
      <c r="D22" s="243"/>
      <c r="E22" s="243"/>
      <c r="F22" s="243"/>
      <c r="G22" s="53">
        <f>'DOE25'!L255+'DOE25'!L336</f>
        <v>780951.94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1788155</v>
      </c>
      <c r="D25" s="243"/>
      <c r="E25" s="243"/>
      <c r="F25" s="255"/>
      <c r="G25" s="253"/>
      <c r="H25" s="253"/>
      <c r="I25" s="254">
        <f>'DOE25'!L260+'DOE25'!L261+'DOE25'!L341+'DOE25'!L342</f>
        <v>1788155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493382.88</v>
      </c>
      <c r="D29" s="284">
        <f>'DOE25'!L358+'DOE25'!L359+'DOE25'!L360-'DOE25'!I367-F29-G29-H29</f>
        <v>488730.81</v>
      </c>
      <c r="E29" s="243"/>
      <c r="F29" s="244"/>
      <c r="G29" s="53">
        <f>'DOE25'!J358+'DOE25'!J359+'DOE25'!J360</f>
        <v>3537.4900000000002</v>
      </c>
      <c r="H29" s="53">
        <f>'DOE25'!K358+'DOE25'!K359+'DOE25'!K360</f>
        <v>1114.58</v>
      </c>
      <c r="I29" s="256"/>
    </row>
    <row r="30" spans="1:9" x14ac:dyDescent="0.2">
      <c r="A30" s="32"/>
      <c r="C30" s="277"/>
      <c r="D30" s="20"/>
      <c r="E30" s="281"/>
      <c r="F30" s="271"/>
      <c r="G30" s="53"/>
      <c r="H30" s="53"/>
      <c r="I30" s="256"/>
    </row>
    <row r="31" spans="1:9" x14ac:dyDescent="0.2">
      <c r="A31" s="32" t="s">
        <v>818</v>
      </c>
      <c r="B31" t="s">
        <v>817</v>
      </c>
      <c r="C31" s="276">
        <f>SUM(D31:I31)</f>
        <v>627921.13</v>
      </c>
      <c r="D31" s="20">
        <f>'DOE25'!L290+'DOE25'!L309+'DOE25'!L328+'DOE25'!L333+'DOE25'!L334+'DOE25'!L335-F31-G31-H31</f>
        <v>597483.09</v>
      </c>
      <c r="E31" s="243"/>
      <c r="F31" s="244"/>
      <c r="G31" s="53">
        <f>'DOE25'!J290+'DOE25'!J309+'DOE25'!J328+'DOE25'!J333+'DOE25'!J334+'DOE25'!J335</f>
        <v>16902.89</v>
      </c>
      <c r="H31" s="53">
        <f>'DOE25'!K290+'DOE25'!K309+'DOE25'!K328+'DOE25'!K333+'DOE25'!K334+'DOE25'!K335</f>
        <v>13535.150000000001</v>
      </c>
      <c r="I31" s="256"/>
    </row>
    <row r="32" spans="1:9" ht="12" thickBot="1" x14ac:dyDescent="0.25">
      <c r="C32" s="277"/>
      <c r="G32" s="251"/>
      <c r="H32" s="251"/>
      <c r="I32" s="258"/>
    </row>
    <row r="33" spans="1:9" ht="12" thickTop="1" x14ac:dyDescent="0.2">
      <c r="B33" t="s">
        <v>809</v>
      </c>
      <c r="D33" s="245">
        <f t="shared" ref="D33:I33" si="1">SUM(D5:D31)</f>
        <v>25466908.469999999</v>
      </c>
      <c r="E33" s="245">
        <f t="shared" si="1"/>
        <v>1939733</v>
      </c>
      <c r="F33" s="245">
        <f t="shared" si="1"/>
        <v>0</v>
      </c>
      <c r="G33" s="245">
        <f t="shared" si="1"/>
        <v>1319944.6299999999</v>
      </c>
      <c r="H33" s="245">
        <f t="shared" si="1"/>
        <v>125365.726</v>
      </c>
      <c r="I33" s="245">
        <f t="shared" si="1"/>
        <v>1788155</v>
      </c>
    </row>
    <row r="35" spans="1:9" ht="12" thickBot="1" x14ac:dyDescent="0.25">
      <c r="B35" s="251" t="s">
        <v>831</v>
      </c>
      <c r="D35" s="252">
        <f>E33</f>
        <v>1939733</v>
      </c>
      <c r="E35" s="248"/>
    </row>
    <row r="36" spans="1:9" ht="12" thickTop="1" x14ac:dyDescent="0.2">
      <c r="B36" t="s">
        <v>810</v>
      </c>
      <c r="D36" s="20">
        <f>D33</f>
        <v>25466908.469999999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A2" sqref="A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PELHAM SCHOOL DISTRICT, SAU28</v>
      </c>
      <c r="B2" s="126">
        <f>'DOE25'!B2</f>
        <v>425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17194375.099999998</v>
      </c>
      <c r="G4" s="303">
        <f>'DOE25'!L211+'DOE25'!L290</f>
        <v>17194375.10193</v>
      </c>
      <c r="H4" s="304">
        <f>F4-G4</f>
        <v>-1.9300021231174469E-3</v>
      </c>
      <c r="I4" s="310" t="str">
        <f>IF(H4=0,"","Does not match DOE25 page 7 and 11 Totals!!")</f>
        <v>Does not match DOE25 page 7 and 11 Totals!!</v>
      </c>
      <c r="N4"/>
    </row>
    <row r="5" spans="1:18" x14ac:dyDescent="0.2">
      <c r="A5" s="21" t="s">
        <v>1366</v>
      </c>
      <c r="B5" s="305">
        <f>IFERROR(VLOOKUP(A5,'School Tables'!$C$3:$D$368,2,FALSE),"")</f>
        <v>27970</v>
      </c>
      <c r="C5" s="297" t="str">
        <f>IFERROR(INDEX('School Tables'!$B$3:$B$368,MATCH('School Level Expenditures'!B5,'School Tables'!$D$3:$D$368,0)),"")</f>
        <v>Pelham</v>
      </c>
      <c r="D5" s="294">
        <v>10067545.35</v>
      </c>
      <c r="E5" s="294">
        <v>365079.86</v>
      </c>
      <c r="F5" s="313">
        <f>D5+E5</f>
        <v>10432625.209999999</v>
      </c>
      <c r="G5" s="297"/>
      <c r="H5" s="297"/>
      <c r="I5" s="126"/>
      <c r="N5"/>
    </row>
    <row r="6" spans="1:18" x14ac:dyDescent="0.2">
      <c r="A6" s="21" t="s">
        <v>1368</v>
      </c>
      <c r="B6" s="305">
        <f>IFERROR(VLOOKUP(A6,'School Tables'!$C$3:$D$368,2,FALSE),"")</f>
        <v>21110</v>
      </c>
      <c r="C6" s="297" t="str">
        <f>IFERROR(INDEX('School Tables'!$B$3:$B$368,MATCH('School Level Expenditures'!B6,'School Tables'!$D$3:$D$368,0)),"")</f>
        <v>Pelham</v>
      </c>
      <c r="D6" s="294">
        <v>6650372.5</v>
      </c>
      <c r="E6" s="294">
        <v>111377.39</v>
      </c>
      <c r="F6" s="308">
        <f t="shared" ref="F6:F20" si="0">D6+E6</f>
        <v>6761749.8899999997</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10383241.9</v>
      </c>
      <c r="G36" s="303">
        <f>'DOE25'!L247+'DOE25'!L328</f>
        <v>10383241.904070001</v>
      </c>
      <c r="H36" s="304">
        <f>F36-G36</f>
        <v>-4.0700007230043411E-3</v>
      </c>
      <c r="I36" s="310" t="str">
        <f>IF(H36=0,"","Does not match DOE25 page 9 and 13 Totals!!")</f>
        <v>Does not match DOE25 page 9 and 13 Totals!!</v>
      </c>
      <c r="N36"/>
    </row>
    <row r="37" spans="1:14" x14ac:dyDescent="0.2">
      <c r="A37" s="21" t="s">
        <v>1367</v>
      </c>
      <c r="B37" s="305">
        <f>IFERROR(VLOOKUP(A37,'School Tables'!$O$3:$P$122,2,FALSE),"")</f>
        <v>21105</v>
      </c>
      <c r="C37" s="297" t="str">
        <f t="array" ref="C37">IFERROR(INDEX('School Tables'!$N$3:$N$122,MATCH('School Level Expenditures'!B37,'School Tables'!$P$3:$P$122,0)),"")</f>
        <v>Pelham</v>
      </c>
      <c r="D37" s="294">
        <v>10231777.59</v>
      </c>
      <c r="E37" s="294">
        <v>151464.31</v>
      </c>
      <c r="F37" s="308">
        <f>D37+E37</f>
        <v>10383241.9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PELHAM SCHOOL DISTRICT, SAU28</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2103462.69</v>
      </c>
      <c r="D8" s="95">
        <f>'DOE25'!G9</f>
        <v>251692.36</v>
      </c>
      <c r="E8" s="95">
        <f>'DOE25'!H9</f>
        <v>86275.92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111894.32</v>
      </c>
      <c r="D11" s="95">
        <f>'DOE25'!G12</f>
        <v>0</v>
      </c>
      <c r="E11" s="95">
        <f>'DOE25'!H12</f>
        <v>0</v>
      </c>
      <c r="F11" s="95">
        <f>'DOE25'!I12</f>
        <v>0</v>
      </c>
      <c r="G11" s="95">
        <f>'DOE25'!J12</f>
        <v>0</v>
      </c>
      <c r="H11" s="124"/>
      <c r="I11" s="124"/>
    </row>
    <row r="12" spans="1:9" x14ac:dyDescent="0.2">
      <c r="A12" s="1" t="s">
        <v>143</v>
      </c>
      <c r="B12" s="6">
        <v>140</v>
      </c>
      <c r="C12" s="95">
        <f>'DOE25'!F13</f>
        <v>7519.63</v>
      </c>
      <c r="D12" s="95">
        <f>'DOE25'!G13</f>
        <v>6307.38</v>
      </c>
      <c r="E12" s="95">
        <f>'DOE25'!H13</f>
        <v>116019.94</v>
      </c>
      <c r="F12" s="95">
        <f>'DOE25'!I13</f>
        <v>0</v>
      </c>
      <c r="G12" s="95">
        <f>'DOE25'!J13</f>
        <v>515352.67</v>
      </c>
      <c r="H12" s="124"/>
      <c r="I12" s="124"/>
    </row>
    <row r="13" spans="1:9" x14ac:dyDescent="0.2">
      <c r="A13" s="1" t="s">
        <v>144</v>
      </c>
      <c r="B13" s="6">
        <v>150</v>
      </c>
      <c r="C13" s="95">
        <f>'DOE25'!F14</f>
        <v>13923.35</v>
      </c>
      <c r="D13" s="95">
        <f>'DOE25'!G14</f>
        <v>154.69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8260.1299999999992</v>
      </c>
      <c r="D16" s="95">
        <f>'DOE25'!G17</f>
        <v>0</v>
      </c>
      <c r="E16" s="95">
        <f>'DOE25'!H17</f>
        <v>0</v>
      </c>
      <c r="F16" s="95">
        <f>'DOE25'!I17</f>
        <v>0</v>
      </c>
      <c r="G16" s="95">
        <f>'DOE25'!J17</f>
        <v>0</v>
      </c>
      <c r="H16" s="124"/>
      <c r="I16" s="124"/>
    </row>
    <row r="17" spans="1:9" ht="12" thickBot="1" x14ac:dyDescent="0.25">
      <c r="A17" s="1" t="s">
        <v>148</v>
      </c>
      <c r="B17" s="6">
        <v>190</v>
      </c>
      <c r="C17" s="95">
        <f>'DOE25'!F18</f>
        <v>75670.61</v>
      </c>
      <c r="D17" s="95">
        <f>'DOE25'!G18</f>
        <v>0</v>
      </c>
      <c r="E17" s="95">
        <f>'DOE25'!H18</f>
        <v>0</v>
      </c>
      <c r="F17" s="95">
        <f>'DOE25'!I18</f>
        <v>0</v>
      </c>
      <c r="G17" s="95">
        <f>'DOE25'!J18</f>
        <v>0</v>
      </c>
      <c r="H17" s="124"/>
      <c r="I17" s="124"/>
    </row>
    <row r="18" spans="1:9" ht="12" thickTop="1" x14ac:dyDescent="0.2">
      <c r="A18" s="38" t="s">
        <v>149</v>
      </c>
      <c r="B18" s="39"/>
      <c r="C18" s="41">
        <f>SUM(C8:C17)</f>
        <v>2320730.7299999995</v>
      </c>
      <c r="D18" s="41">
        <f>SUM(D8:D17)</f>
        <v>258154.43</v>
      </c>
      <c r="E18" s="41">
        <f>SUM(E8:E17)</f>
        <v>202295.86</v>
      </c>
      <c r="F18" s="41">
        <f>SUM(F8:F17)</f>
        <v>0</v>
      </c>
      <c r="G18" s="41">
        <f>SUM(G8:G17)</f>
        <v>515352.67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-4125.62</v>
      </c>
      <c r="E21" s="95">
        <f>'DOE25'!H22</f>
        <v>116019.94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2222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58625.35</v>
      </c>
      <c r="D27" s="95">
        <f>'DOE25'!G28</f>
        <v>0</v>
      </c>
      <c r="E27" s="95">
        <f>'DOE25'!H28</f>
        <v>0</v>
      </c>
      <c r="F27" s="95">
        <f>'DOE25'!I28</f>
        <v>0</v>
      </c>
      <c r="G27" s="24" t="s">
        <v>288</v>
      </c>
      <c r="H27" s="124"/>
      <c r="I27" s="124"/>
    </row>
    <row r="28" spans="1:9" x14ac:dyDescent="0.2">
      <c r="A28" s="1" t="s">
        <v>157</v>
      </c>
      <c r="B28" s="6">
        <v>470</v>
      </c>
      <c r="C28" s="95">
        <f>'DOE25'!F29</f>
        <v>481996.75</v>
      </c>
      <c r="D28" s="95">
        <f>'DOE25'!G29</f>
        <v>0</v>
      </c>
      <c r="E28" s="95">
        <f>'DOE25'!H29</f>
        <v>0</v>
      </c>
      <c r="F28" s="95">
        <f>'DOE25'!I29</f>
        <v>0</v>
      </c>
      <c r="G28" s="24" t="s">
        <v>288</v>
      </c>
      <c r="H28" s="124"/>
      <c r="I28" s="124"/>
    </row>
    <row r="29" spans="1:9" x14ac:dyDescent="0.2">
      <c r="A29" s="1" t="s">
        <v>158</v>
      </c>
      <c r="B29" s="6">
        <v>480</v>
      </c>
      <c r="C29" s="95">
        <f>'DOE25'!F30</f>
        <v>161970.92000000001</v>
      </c>
      <c r="D29" s="95">
        <f>'DOE25'!G30</f>
        <v>20091.25</v>
      </c>
      <c r="E29" s="95">
        <f>'DOE25'!H30</f>
        <v>86275.92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704815.02</v>
      </c>
      <c r="D31" s="41">
        <f>SUM(D21:D30)</f>
        <v>15965.630000000001</v>
      </c>
      <c r="E31" s="41">
        <f>SUM(E21:E30)</f>
        <v>202295.86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8410.74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242188.79999999999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75520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515352.67</v>
      </c>
      <c r="H47" s="124"/>
      <c r="I47" s="124"/>
    </row>
    <row r="48" spans="1:9" x14ac:dyDescent="0.2">
      <c r="A48" s="1" t="s">
        <v>882</v>
      </c>
      <c r="B48" s="6">
        <v>753</v>
      </c>
      <c r="C48" s="95">
        <f>'DOE25'!F49</f>
        <v>270460.81</v>
      </c>
      <c r="D48" s="95">
        <f>'DOE25'!G49</f>
        <v>0</v>
      </c>
      <c r="E48" s="95">
        <f>'DOE25'!H49</f>
        <v>0</v>
      </c>
      <c r="F48" s="95">
        <f>'DOE25'!I49</f>
        <v>0</v>
      </c>
      <c r="G48" s="95">
        <f>'DOE25'!J49</f>
        <v>0</v>
      </c>
      <c r="H48" s="124"/>
      <c r="I48" s="124"/>
    </row>
    <row r="49" spans="1:9" ht="12" thickBot="1" x14ac:dyDescent="0.25">
      <c r="A49" s="29" t="s">
        <v>883</v>
      </c>
      <c r="B49" s="71">
        <v>770</v>
      </c>
      <c r="C49" s="95">
        <f>'DOE25'!F50</f>
        <v>1261524.1599999999</v>
      </c>
      <c r="D49" s="24" t="s">
        <v>288</v>
      </c>
      <c r="E49" s="24" t="s">
        <v>288</v>
      </c>
      <c r="F49" s="24" t="s">
        <v>288</v>
      </c>
      <c r="G49" s="24" t="s">
        <v>288</v>
      </c>
      <c r="H49" s="124"/>
      <c r="I49" s="124"/>
    </row>
    <row r="50" spans="1:9" ht="12.75" thickTop="1" thickBot="1" x14ac:dyDescent="0.25">
      <c r="A50" s="38" t="s">
        <v>884</v>
      </c>
      <c r="B50" s="48"/>
      <c r="C50" s="41">
        <f>SUM(C34:C49)</f>
        <v>1615915.71</v>
      </c>
      <c r="D50" s="41">
        <f>SUM(D34:D49)</f>
        <v>242188.79999999999</v>
      </c>
      <c r="E50" s="41">
        <f>SUM(E34:E49)</f>
        <v>0</v>
      </c>
      <c r="F50" s="41">
        <f>SUM(F34:F49)</f>
        <v>0</v>
      </c>
      <c r="G50" s="41">
        <f>SUM(G34:G49)</f>
        <v>515352.67</v>
      </c>
      <c r="H50" s="124"/>
      <c r="I50" s="124"/>
    </row>
    <row r="51" spans="1:9" ht="12" thickTop="1" x14ac:dyDescent="0.2">
      <c r="A51" s="38" t="s">
        <v>885</v>
      </c>
      <c r="B51" s="2"/>
      <c r="C51" s="41">
        <f>C50+C31</f>
        <v>2320730.73</v>
      </c>
      <c r="D51" s="41">
        <f>D50+D31</f>
        <v>258154.43</v>
      </c>
      <c r="E51" s="41">
        <f>E50+E31</f>
        <v>202295.86</v>
      </c>
      <c r="F51" s="41">
        <f>F50+F31</f>
        <v>0</v>
      </c>
      <c r="G51" s="41">
        <f>G50+G31</f>
        <v>515352.67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20557888</v>
      </c>
      <c r="D56" s="95">
        <f>'DOE25'!G60</f>
        <v>0</v>
      </c>
      <c r="E56" s="95">
        <f>'DOE25'!H60</f>
        <v>0</v>
      </c>
      <c r="F56" s="95">
        <f>'DOE25'!I60</f>
        <v>0</v>
      </c>
      <c r="G56" s="95">
        <f>'DOE25'!J60</f>
        <v>0</v>
      </c>
      <c r="H56"/>
      <c r="I56"/>
    </row>
    <row r="57" spans="1:9" x14ac:dyDescent="0.2">
      <c r="A57" s="1" t="s">
        <v>164</v>
      </c>
      <c r="B57" s="6" t="s">
        <v>165</v>
      </c>
      <c r="C57" s="95">
        <f>'DOE25'!F79</f>
        <v>61940.07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669.26</v>
      </c>
      <c r="D59" s="95">
        <f>'DOE25'!G96</f>
        <v>0</v>
      </c>
      <c r="E59" s="95">
        <f>'DOE25'!H96</f>
        <v>0</v>
      </c>
      <c r="F59" s="95">
        <f>'DOE25'!I96</f>
        <v>0</v>
      </c>
      <c r="G59" s="95">
        <f>'DOE25'!J96</f>
        <v>24134.2</v>
      </c>
      <c r="H59"/>
      <c r="I59"/>
    </row>
    <row r="60" spans="1:9" x14ac:dyDescent="0.2">
      <c r="A60" s="1" t="s">
        <v>170</v>
      </c>
      <c r="B60" s="118" t="s">
        <v>171</v>
      </c>
      <c r="C60" s="24" t="s">
        <v>288</v>
      </c>
      <c r="D60" s="95">
        <f>'DOE25'!G97</f>
        <v>672103.12</v>
      </c>
      <c r="E60" s="24" t="s">
        <v>288</v>
      </c>
      <c r="F60" s="24" t="s">
        <v>288</v>
      </c>
      <c r="G60" s="24" t="s">
        <v>288</v>
      </c>
      <c r="H60"/>
      <c r="I60"/>
    </row>
    <row r="61" spans="1:9" ht="12" thickBot="1" x14ac:dyDescent="0.25">
      <c r="A61" s="1" t="s">
        <v>172</v>
      </c>
      <c r="B61" s="118" t="s">
        <v>173</v>
      </c>
      <c r="C61" s="95">
        <f>SUM('DOE25'!F98:F110)</f>
        <v>90962.45</v>
      </c>
      <c r="D61" s="95">
        <f>SUM('DOE25'!G98:G110)</f>
        <v>1500</v>
      </c>
      <c r="E61" s="95">
        <f>SUM('DOE25'!H98:H110)</f>
        <v>9227.9600000000009</v>
      </c>
      <c r="F61" s="95">
        <f>SUM('DOE25'!I98:I110)</f>
        <v>0</v>
      </c>
      <c r="G61" s="95">
        <f>SUM('DOE25'!J98:J110)</f>
        <v>0</v>
      </c>
      <c r="H61"/>
      <c r="I61"/>
    </row>
    <row r="62" spans="1:9" ht="12.75" thickTop="1" thickBot="1" x14ac:dyDescent="0.25">
      <c r="A62" s="29" t="s">
        <v>174</v>
      </c>
      <c r="B62" s="6"/>
      <c r="C62" s="130">
        <f>SUM(C57:C61)</f>
        <v>153571.78</v>
      </c>
      <c r="D62" s="130">
        <f>SUM(D57:D61)</f>
        <v>673603.12</v>
      </c>
      <c r="E62" s="130">
        <f>SUM(E57:E61)</f>
        <v>9227.9600000000009</v>
      </c>
      <c r="F62" s="130">
        <f>SUM(F57:F61)</f>
        <v>0</v>
      </c>
      <c r="G62" s="130">
        <f>SUM(G57:G61)</f>
        <v>24134.2</v>
      </c>
      <c r="H62"/>
      <c r="I62"/>
    </row>
    <row r="63" spans="1:9" ht="12" thickTop="1" x14ac:dyDescent="0.2">
      <c r="A63" s="29" t="s">
        <v>175</v>
      </c>
      <c r="B63" s="6"/>
      <c r="C63" s="22">
        <f>C56+C62</f>
        <v>20711459.780000001</v>
      </c>
      <c r="D63" s="22">
        <f>D56+D62</f>
        <v>673603.12</v>
      </c>
      <c r="E63" s="22">
        <f>E56+E62</f>
        <v>9227.9600000000009</v>
      </c>
      <c r="F63" s="22">
        <f>F56+F62</f>
        <v>0</v>
      </c>
      <c r="G63" s="22">
        <f>G56+G62</f>
        <v>24134.2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4166850.35</v>
      </c>
      <c r="D66" s="24" t="s">
        <v>288</v>
      </c>
      <c r="E66" s="24" t="s">
        <v>288</v>
      </c>
      <c r="F66" s="24" t="s">
        <v>288</v>
      </c>
      <c r="G66" s="24" t="s">
        <v>288</v>
      </c>
      <c r="H66"/>
      <c r="I66"/>
    </row>
    <row r="67" spans="1:9" x14ac:dyDescent="0.2">
      <c r="A67" s="1" t="s">
        <v>770</v>
      </c>
      <c r="B67" s="6">
        <v>3112</v>
      </c>
      <c r="C67" s="95">
        <f>'DOE25'!F118</f>
        <v>3585223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8017.23</v>
      </c>
      <c r="D69" s="95">
        <f>'DOE25'!G120</f>
        <v>0</v>
      </c>
      <c r="E69" s="95">
        <f>'DOE25'!H120</f>
        <v>0</v>
      </c>
      <c r="F69" s="95">
        <f>'DOE25'!I120</f>
        <v>0</v>
      </c>
      <c r="G69" s="95">
        <f>'DOE25'!J120</f>
        <v>0</v>
      </c>
      <c r="H69"/>
      <c r="I69"/>
    </row>
    <row r="70" spans="1:9" ht="12" thickTop="1" x14ac:dyDescent="0.2">
      <c r="A70" s="29" t="s">
        <v>252</v>
      </c>
      <c r="B70" s="2"/>
      <c r="C70" s="139">
        <f>SUM(C66:C69)</f>
        <v>7760090.5800000001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375552.24</v>
      </c>
      <c r="D75" s="24" t="s">
        <v>288</v>
      </c>
      <c r="E75" s="24" t="s">
        <v>288</v>
      </c>
      <c r="F75" s="24" t="s">
        <v>288</v>
      </c>
      <c r="G75" s="24" t="s">
        <v>288</v>
      </c>
      <c r="H75"/>
      <c r="I75"/>
    </row>
    <row r="76" spans="1:9" x14ac:dyDescent="0.2">
      <c r="A76" s="1" t="s">
        <v>257</v>
      </c>
      <c r="B76" s="6" t="s">
        <v>179</v>
      </c>
      <c r="C76" s="95">
        <f>SUM('DOE25'!F127:F130)</f>
        <v>19067.599999999999</v>
      </c>
      <c r="D76" s="24" t="s">
        <v>288</v>
      </c>
      <c r="E76" s="95">
        <f>SUM('DOE25'!H127:H130)</f>
        <v>0</v>
      </c>
      <c r="F76" s="95">
        <f>SUM('DOE25'!I127:I130)</f>
        <v>0</v>
      </c>
      <c r="G76" s="24" t="s">
        <v>288</v>
      </c>
      <c r="H76"/>
      <c r="I76"/>
    </row>
    <row r="77" spans="1:9" ht="12" thickBot="1" x14ac:dyDescent="0.25">
      <c r="A77" s="1" t="s">
        <v>258</v>
      </c>
      <c r="B77" s="6" t="s">
        <v>180</v>
      </c>
      <c r="C77" s="95">
        <f>SUM('DOE25'!F131:F135)</f>
        <v>49373.599999999999</v>
      </c>
      <c r="D77" s="95">
        <f>SUM('DOE25'!G131:G135)</f>
        <v>10507.75</v>
      </c>
      <c r="E77" s="95">
        <f>SUM('DOE25'!H131:H135)</f>
        <v>0</v>
      </c>
      <c r="F77" s="95">
        <f>SUM('DOE25'!I131:I135)</f>
        <v>0</v>
      </c>
      <c r="G77" s="95">
        <f>SUM('DOE25'!J131:J135)</f>
        <v>0</v>
      </c>
      <c r="H77"/>
      <c r="I77"/>
    </row>
    <row r="78" spans="1:9" ht="12.75" thickTop="1" thickBot="1" x14ac:dyDescent="0.25">
      <c r="A78" s="29" t="s">
        <v>259</v>
      </c>
      <c r="B78" s="6"/>
      <c r="C78" s="130">
        <f>SUM(C72:C77)</f>
        <v>443993.43999999994</v>
      </c>
      <c r="D78" s="130">
        <f>SUM(D72:D77)</f>
        <v>10507.75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8204084.0199999996</v>
      </c>
      <c r="D81" s="130">
        <f>SUM(D79:D80)+D78+D70</f>
        <v>10507.75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90604.77</v>
      </c>
      <c r="D88" s="95">
        <f>SUM('DOE25'!G153:G161)</f>
        <v>176339.94</v>
      </c>
      <c r="E88" s="95">
        <f>SUM('DOE25'!H153:H161)</f>
        <v>618693.16999999993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90604.77</v>
      </c>
      <c r="D91" s="131">
        <f>SUM(D85:D90)</f>
        <v>176339.94</v>
      </c>
      <c r="E91" s="131">
        <f>SUM(E85:E90)</f>
        <v>618693.16999999993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29006148.57</v>
      </c>
      <c r="D104" s="86">
        <f>D63+D81+D91+D103</f>
        <v>860450.81</v>
      </c>
      <c r="E104" s="86">
        <f>E63+E81+E91+E103</f>
        <v>627921.12999999989</v>
      </c>
      <c r="F104" s="86">
        <f>F63+F81+F91+F103</f>
        <v>0</v>
      </c>
      <c r="G104" s="86">
        <f>G63+G81+G103</f>
        <v>24134.2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10179283.040000001</v>
      </c>
      <c r="D109" s="24" t="s">
        <v>288</v>
      </c>
      <c r="E109" s="95">
        <f>('DOE25'!L276)+('DOE25'!L295)+('DOE25'!L314)</f>
        <v>159591.34000000003</v>
      </c>
      <c r="F109" s="24" t="s">
        <v>288</v>
      </c>
      <c r="G109" s="24" t="s">
        <v>288</v>
      </c>
    </row>
    <row r="110" spans="1:7" x14ac:dyDescent="0.2">
      <c r="A110" t="s">
        <v>198</v>
      </c>
      <c r="B110" s="32" t="s">
        <v>199</v>
      </c>
      <c r="C110" s="95">
        <f>('DOE25'!L198)+('DOE25'!L216)+('DOE25'!L234)</f>
        <v>4998618.84</v>
      </c>
      <c r="D110" s="24" t="s">
        <v>288</v>
      </c>
      <c r="E110" s="95">
        <f>('DOE25'!L277)+('DOE25'!L296)+('DOE25'!L315)</f>
        <v>376290.91000000003</v>
      </c>
      <c r="F110" s="24" t="s">
        <v>288</v>
      </c>
      <c r="G110" s="24" t="s">
        <v>288</v>
      </c>
    </row>
    <row r="111" spans="1:7" x14ac:dyDescent="0.2">
      <c r="A111" t="s">
        <v>200</v>
      </c>
      <c r="B111" s="32" t="s">
        <v>165</v>
      </c>
      <c r="C111" s="95">
        <f>('DOE25'!L199)+('DOE25'!L217)+('DOE25'!L235)</f>
        <v>42431.810000000005</v>
      </c>
      <c r="D111" s="24" t="s">
        <v>288</v>
      </c>
      <c r="E111" s="95">
        <f>('DOE25'!L278)+('DOE25'!L297)+('DOE25'!L316)</f>
        <v>0</v>
      </c>
      <c r="F111" s="24" t="s">
        <v>288</v>
      </c>
      <c r="G111" s="24" t="s">
        <v>288</v>
      </c>
    </row>
    <row r="112" spans="1:7" x14ac:dyDescent="0.2">
      <c r="A112" t="s">
        <v>201</v>
      </c>
      <c r="B112" s="32" t="s">
        <v>167</v>
      </c>
      <c r="C112" s="95">
        <f>('DOE25'!L200)+('DOE25'!L218)+('DOE25'!L236)</f>
        <v>630104.9</v>
      </c>
      <c r="D112" s="24" t="s">
        <v>288</v>
      </c>
      <c r="E112" s="95">
        <f>+('DOE25'!L279)+('DOE25'!L298)+('DOE25'!L317)</f>
        <v>5973.630000000001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15850438.590000002</v>
      </c>
      <c r="D115" s="86">
        <f>SUM(D109:D114)</f>
        <v>0</v>
      </c>
      <c r="E115" s="86">
        <f>SUM(E109:E114)</f>
        <v>541855.88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2494493.79</v>
      </c>
      <c r="D118" s="24" t="s">
        <v>288</v>
      </c>
      <c r="E118" s="95">
        <f>+('DOE25'!L281)+('DOE25'!L300)+('DOE25'!L319)</f>
        <v>0</v>
      </c>
      <c r="F118" s="24" t="s">
        <v>288</v>
      </c>
      <c r="G118" s="24" t="s">
        <v>288</v>
      </c>
    </row>
    <row r="119" spans="1:7" x14ac:dyDescent="0.2">
      <c r="A119" t="s">
        <v>208</v>
      </c>
      <c r="B119" s="32" t="s">
        <v>209</v>
      </c>
      <c r="C119" s="95">
        <f>('DOE25'!L203)+('DOE25'!L221)+('DOE25'!L239)</f>
        <v>897737.07999999984</v>
      </c>
      <c r="D119" s="24" t="s">
        <v>288</v>
      </c>
      <c r="E119" s="95">
        <f>+('DOE25'!L282)+('DOE25'!L301)+('DOE25'!L320)</f>
        <v>78410.180000000008</v>
      </c>
      <c r="F119" s="24" t="s">
        <v>288</v>
      </c>
      <c r="G119" s="24" t="s">
        <v>288</v>
      </c>
    </row>
    <row r="120" spans="1:7" x14ac:dyDescent="0.2">
      <c r="A120" t="s">
        <v>210</v>
      </c>
      <c r="B120" s="32" t="s">
        <v>211</v>
      </c>
      <c r="C120" s="95">
        <f>('DOE25'!L204)+('DOE25'!L222)+('DOE25'!L240)</f>
        <v>748973.13</v>
      </c>
      <c r="D120" s="24" t="s">
        <v>288</v>
      </c>
      <c r="E120" s="95">
        <f>+('DOE25'!L283)+('DOE25'!L302)+('DOE25'!L321)</f>
        <v>0</v>
      </c>
      <c r="F120" s="24" t="s">
        <v>288</v>
      </c>
      <c r="G120" s="24" t="s">
        <v>288</v>
      </c>
    </row>
    <row r="121" spans="1:7" x14ac:dyDescent="0.2">
      <c r="A121" t="s">
        <v>212</v>
      </c>
      <c r="B121" s="32" t="s">
        <v>213</v>
      </c>
      <c r="C121" s="95">
        <f>('DOE25'!L205)+('DOE25'!L223)+('DOE25'!L241)</f>
        <v>1521915.7999999998</v>
      </c>
      <c r="D121" s="24" t="s">
        <v>288</v>
      </c>
      <c r="E121" s="95">
        <f>+('DOE25'!L284)+('DOE25'!L303)+('DOE25'!L322)</f>
        <v>0</v>
      </c>
      <c r="F121" s="24" t="s">
        <v>288</v>
      </c>
      <c r="G121" s="24" t="s">
        <v>288</v>
      </c>
    </row>
    <row r="122" spans="1:7" x14ac:dyDescent="0.2">
      <c r="A122" t="s">
        <v>214</v>
      </c>
      <c r="B122" s="32" t="s">
        <v>215</v>
      </c>
      <c r="C122" s="95">
        <f>('DOE25'!L206)+('DOE25'!L224)+('DOE25'!L242)</f>
        <v>396074.27999999997</v>
      </c>
      <c r="D122" s="24" t="s">
        <v>288</v>
      </c>
      <c r="E122" s="95">
        <f>+('DOE25'!L285)+('DOE25'!L304)+('DOE25'!L323)</f>
        <v>0</v>
      </c>
      <c r="F122" s="24" t="s">
        <v>288</v>
      </c>
      <c r="G122" s="24" t="s">
        <v>288</v>
      </c>
    </row>
    <row r="123" spans="1:7" x14ac:dyDescent="0.2">
      <c r="A123" t="s">
        <v>216</v>
      </c>
      <c r="B123" s="32" t="s">
        <v>217</v>
      </c>
      <c r="C123" s="95">
        <f>('DOE25'!L207)+('DOE25'!L225)+('DOE25'!L243)</f>
        <v>2325838.0099999998</v>
      </c>
      <c r="D123" s="24" t="s">
        <v>288</v>
      </c>
      <c r="E123" s="95">
        <f>+('DOE25'!L286)+('DOE25'!L305)+('DOE25'!L324)</f>
        <v>0</v>
      </c>
      <c r="F123" s="24" t="s">
        <v>288</v>
      </c>
      <c r="G123" s="24" t="s">
        <v>288</v>
      </c>
    </row>
    <row r="124" spans="1:7" x14ac:dyDescent="0.2">
      <c r="A124" t="s">
        <v>218</v>
      </c>
      <c r="B124" s="32" t="s">
        <v>219</v>
      </c>
      <c r="C124" s="95">
        <f>('DOE25'!L208)+('DOE25'!L226)+('DOE25'!L244+'DOE25'!L254)</f>
        <v>1687942.75</v>
      </c>
      <c r="D124" s="24" t="s">
        <v>288</v>
      </c>
      <c r="E124" s="95">
        <f>+('DOE25'!L287)+('DOE25'!L306)+('DOE25'!L325)</f>
        <v>1913.76</v>
      </c>
      <c r="F124" s="24" t="s">
        <v>288</v>
      </c>
      <c r="G124" s="24" t="s">
        <v>288</v>
      </c>
    </row>
    <row r="125" spans="1:7" x14ac:dyDescent="0.2">
      <c r="A125" t="s">
        <v>220</v>
      </c>
      <c r="B125" s="32" t="s">
        <v>221</v>
      </c>
      <c r="C125" s="95">
        <f>('DOE25'!L209)+('DOE25'!L227)+('DOE25'!L245)</f>
        <v>1026282.446</v>
      </c>
      <c r="D125" s="24" t="s">
        <v>288</v>
      </c>
      <c r="E125" s="95">
        <f>+('DOE25'!L288)+('DOE25'!L307)+('DOE25'!L326)</f>
        <v>5741.3099999999995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840981.27</v>
      </c>
      <c r="E127" s="24" t="s">
        <v>288</v>
      </c>
      <c r="F127" s="24" t="s">
        <v>288</v>
      </c>
      <c r="G127" s="24" t="s">
        <v>288</v>
      </c>
    </row>
    <row r="128" spans="1:7" ht="12.75" thickTop="1" thickBot="1" x14ac:dyDescent="0.25">
      <c r="A128" s="33" t="s">
        <v>226</v>
      </c>
      <c r="C128" s="86">
        <f>SUM(C118:C127)</f>
        <v>11099257.286</v>
      </c>
      <c r="D128" s="86">
        <f>SUM(D118:D127)</f>
        <v>840981.27</v>
      </c>
      <c r="E128" s="86">
        <f>SUM(E118:E127)</f>
        <v>86065.25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780951.94</v>
      </c>
      <c r="D130" s="24" t="s">
        <v>288</v>
      </c>
      <c r="E130" s="129">
        <f>'DOE25'!L336</f>
        <v>0</v>
      </c>
      <c r="F130" s="129">
        <f>SUM('DOE25'!L374:'DOE25'!L380)</f>
        <v>0</v>
      </c>
      <c r="G130" s="24" t="s">
        <v>288</v>
      </c>
    </row>
    <row r="131" spans="1:7" x14ac:dyDescent="0.2">
      <c r="A131" t="s">
        <v>229</v>
      </c>
      <c r="B131" s="32">
        <v>5110</v>
      </c>
      <c r="C131" s="95">
        <f>'DOE25'!L260</f>
        <v>1040000</v>
      </c>
      <c r="D131" s="24" t="s">
        <v>288</v>
      </c>
      <c r="E131" s="129">
        <f>'DOE25'!L341</f>
        <v>0</v>
      </c>
      <c r="F131" s="24" t="s">
        <v>288</v>
      </c>
      <c r="G131" s="24" t="s">
        <v>288</v>
      </c>
    </row>
    <row r="132" spans="1:7" x14ac:dyDescent="0.2">
      <c r="A132" t="s">
        <v>230</v>
      </c>
      <c r="B132" s="32">
        <v>5120</v>
      </c>
      <c r="C132" s="95">
        <f>'DOE25'!L261</f>
        <v>748155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22403.5</v>
      </c>
      <c r="D139" s="24" t="s">
        <v>288</v>
      </c>
      <c r="E139" s="24" t="s">
        <v>288</v>
      </c>
      <c r="F139" s="24" t="s">
        <v>288</v>
      </c>
      <c r="G139" s="24" t="s">
        <v>288</v>
      </c>
    </row>
    <row r="140" spans="1:7" x14ac:dyDescent="0.2">
      <c r="A140" t="s">
        <v>240</v>
      </c>
      <c r="B140" s="32">
        <v>5253</v>
      </c>
      <c r="C140" s="95">
        <f>'DOE25'!L407</f>
        <v>1730.7</v>
      </c>
      <c r="D140" s="24" t="s">
        <v>288</v>
      </c>
      <c r="E140" s="24" t="s">
        <v>288</v>
      </c>
      <c r="F140" s="24" t="s">
        <v>288</v>
      </c>
      <c r="G140" s="24" t="s">
        <v>288</v>
      </c>
    </row>
    <row r="141" spans="1:7" x14ac:dyDescent="0.2">
      <c r="A141" t="s">
        <v>762</v>
      </c>
      <c r="B141" s="32">
        <v>5254</v>
      </c>
      <c r="C141" s="95">
        <f>('DOE25'!L266+'DOE25'!K347) - (C138+C139+C140)</f>
        <v>-24134.2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2569106.94</v>
      </c>
      <c r="D144" s="141">
        <f>SUM(D130:D143)</f>
        <v>0</v>
      </c>
      <c r="E144" s="141">
        <f>SUM(E130:E143)</f>
        <v>0</v>
      </c>
      <c r="F144" s="141">
        <f>SUM(F130:F143)</f>
        <v>0</v>
      </c>
      <c r="G144" s="141">
        <f>SUM(G130:G143)</f>
        <v>0</v>
      </c>
    </row>
    <row r="145" spans="1:9" ht="12.75" thickTop="1" thickBot="1" x14ac:dyDescent="0.25">
      <c r="A145" s="33" t="s">
        <v>244</v>
      </c>
      <c r="C145" s="86">
        <f>(C115+C128+C144)</f>
        <v>29518802.816000003</v>
      </c>
      <c r="D145" s="86">
        <f>(D115+D128+D144)</f>
        <v>840981.27</v>
      </c>
      <c r="E145" s="86">
        <f>(E115+E128+E144)</f>
        <v>627921.13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5</v>
      </c>
      <c r="C151" s="153">
        <f>'DOE25'!G490</f>
        <v>20</v>
      </c>
      <c r="D151" s="153">
        <f>'DOE25'!H490</f>
        <v>6</v>
      </c>
      <c r="E151" s="153">
        <f>'DOE25'!I490</f>
        <v>0</v>
      </c>
      <c r="F151" s="153">
        <f>'DOE25'!J490</f>
        <v>0</v>
      </c>
      <c r="G151" s="24" t="s">
        <v>288</v>
      </c>
    </row>
    <row r="152" spans="1:9" x14ac:dyDescent="0.2">
      <c r="A152" s="136" t="s">
        <v>28</v>
      </c>
      <c r="B152" s="152" t="str">
        <f>'DOE25'!F491</f>
        <v>4/2014</v>
      </c>
      <c r="C152" s="152" t="str">
        <f>'DOE25'!G491</f>
        <v>7/2014</v>
      </c>
      <c r="D152" s="152" t="str">
        <f>'DOE25'!H491</f>
        <v>7/2018</v>
      </c>
      <c r="E152" s="152">
        <f>'DOE25'!I491</f>
        <v>0</v>
      </c>
      <c r="F152" s="152">
        <f>'DOE25'!J491</f>
        <v>0</v>
      </c>
      <c r="G152" s="24" t="s">
        <v>288</v>
      </c>
    </row>
    <row r="153" spans="1:9" x14ac:dyDescent="0.2">
      <c r="A153" s="136" t="s">
        <v>29</v>
      </c>
      <c r="B153" s="152" t="str">
        <f>'DOE25'!F492</f>
        <v>7/2019</v>
      </c>
      <c r="C153" s="152" t="str">
        <f>'DOE25'!G492</f>
        <v>8/2034</v>
      </c>
      <c r="D153" s="152" t="str">
        <f>'DOE25'!H492</f>
        <v>7/2023</v>
      </c>
      <c r="E153" s="152">
        <f>'DOE25'!I492</f>
        <v>0</v>
      </c>
      <c r="F153" s="152">
        <f>'DOE25'!J492</f>
        <v>0</v>
      </c>
      <c r="G153" s="24" t="s">
        <v>288</v>
      </c>
    </row>
    <row r="154" spans="1:9" x14ac:dyDescent="0.2">
      <c r="A154" s="136" t="s">
        <v>30</v>
      </c>
      <c r="B154" s="137">
        <f>'DOE25'!F493</f>
        <v>1100000</v>
      </c>
      <c r="C154" s="137">
        <f>'DOE25'!G493</f>
        <v>20745000</v>
      </c>
      <c r="D154" s="137">
        <f>'DOE25'!H493</f>
        <v>245000</v>
      </c>
      <c r="E154" s="137">
        <f>'DOE25'!I493</f>
        <v>0</v>
      </c>
      <c r="F154" s="137">
        <f>'DOE25'!J493</f>
        <v>0</v>
      </c>
      <c r="G154" s="24" t="s">
        <v>288</v>
      </c>
    </row>
    <row r="155" spans="1:9" x14ac:dyDescent="0.2">
      <c r="A155" s="136" t="s">
        <v>31</v>
      </c>
      <c r="B155" s="137">
        <f>'DOE25'!F494</f>
        <v>2.67</v>
      </c>
      <c r="C155" s="137">
        <f>'DOE25'!G494</f>
        <v>3.2</v>
      </c>
      <c r="D155" s="137">
        <f>'DOE25'!H494</f>
        <v>3.71</v>
      </c>
      <c r="E155" s="137">
        <f>'DOE25'!I494</f>
        <v>0</v>
      </c>
      <c r="F155" s="137">
        <f>'DOE25'!J494</f>
        <v>0</v>
      </c>
      <c r="G155" s="24" t="s">
        <v>288</v>
      </c>
    </row>
    <row r="156" spans="1:9" x14ac:dyDescent="0.2">
      <c r="A156" s="22" t="s">
        <v>32</v>
      </c>
      <c r="B156" s="137">
        <f>'DOE25'!F495</f>
        <v>253676.53</v>
      </c>
      <c r="C156" s="137">
        <f>'DOE25'!G495</f>
        <v>17625000</v>
      </c>
      <c r="D156" s="137">
        <f>'DOE25'!H495</f>
        <v>245000</v>
      </c>
      <c r="E156" s="137">
        <f>'DOE25'!I495</f>
        <v>0</v>
      </c>
      <c r="F156" s="137">
        <f>'DOE25'!J495</f>
        <v>0</v>
      </c>
      <c r="G156" s="138">
        <f>SUM(B156:F156)</f>
        <v>18123676.530000001</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217000</v>
      </c>
      <c r="C158" s="137">
        <f>'DOE25'!G497</f>
        <v>1040000</v>
      </c>
      <c r="D158" s="137">
        <f>'DOE25'!H497</f>
        <v>44838.04</v>
      </c>
      <c r="E158" s="137">
        <f>'DOE25'!I497</f>
        <v>0</v>
      </c>
      <c r="F158" s="137">
        <f>'DOE25'!J497</f>
        <v>0</v>
      </c>
      <c r="G158" s="138">
        <f t="shared" si="0"/>
        <v>1301838.04</v>
      </c>
    </row>
    <row r="159" spans="1:9" x14ac:dyDescent="0.2">
      <c r="A159" s="22" t="s">
        <v>35</v>
      </c>
      <c r="B159" s="137">
        <f>'DOE25'!F498</f>
        <v>43449.69</v>
      </c>
      <c r="C159" s="137">
        <f>'DOE25'!G498</f>
        <v>16585000</v>
      </c>
      <c r="D159" s="137">
        <f>'DOE25'!H498</f>
        <v>224190.2</v>
      </c>
      <c r="E159" s="137">
        <f>'DOE25'!I498</f>
        <v>0</v>
      </c>
      <c r="F159" s="137">
        <f>'DOE25'!J498</f>
        <v>0</v>
      </c>
      <c r="G159" s="138">
        <f t="shared" si="0"/>
        <v>16852639.890000001</v>
      </c>
    </row>
    <row r="160" spans="1:9" x14ac:dyDescent="0.2">
      <c r="A160" s="22" t="s">
        <v>36</v>
      </c>
      <c r="B160" s="137">
        <f>'DOE25'!F499</f>
        <v>1160.1099999999999</v>
      </c>
      <c r="C160" s="137">
        <f>'DOE25'!G499</f>
        <v>5476267.5</v>
      </c>
      <c r="D160" s="137">
        <f>'DOE25'!H499</f>
        <v>22942.55</v>
      </c>
      <c r="E160" s="137">
        <f>'DOE25'!I499</f>
        <v>0</v>
      </c>
      <c r="F160" s="137">
        <f>'DOE25'!J499</f>
        <v>0</v>
      </c>
      <c r="G160" s="138">
        <f t="shared" si="0"/>
        <v>5500370.1600000001</v>
      </c>
    </row>
    <row r="161" spans="1:7" x14ac:dyDescent="0.2">
      <c r="A161" s="22" t="s">
        <v>37</v>
      </c>
      <c r="B161" s="137">
        <f>'DOE25'!F500</f>
        <v>44609.8</v>
      </c>
      <c r="C161" s="137">
        <f>'DOE25'!G500</f>
        <v>22061267.5</v>
      </c>
      <c r="D161" s="137">
        <f>'DOE25'!H500</f>
        <v>247132.75</v>
      </c>
      <c r="E161" s="137">
        <f>'DOE25'!I500</f>
        <v>0</v>
      </c>
      <c r="F161" s="137">
        <f>'DOE25'!J500</f>
        <v>0</v>
      </c>
      <c r="G161" s="138">
        <f t="shared" si="0"/>
        <v>22353010.050000001</v>
      </c>
    </row>
    <row r="162" spans="1:7" x14ac:dyDescent="0.2">
      <c r="A162" s="22" t="s">
        <v>38</v>
      </c>
      <c r="B162" s="137">
        <f>'DOE25'!F501</f>
        <v>43449.69</v>
      </c>
      <c r="C162" s="137">
        <f>'DOE25'!G501</f>
        <v>1040000</v>
      </c>
      <c r="D162" s="137">
        <f>'DOE25'!H501</f>
        <v>37371.75</v>
      </c>
      <c r="E162" s="137">
        <f>'DOE25'!I501</f>
        <v>0</v>
      </c>
      <c r="F162" s="137">
        <f>'DOE25'!J501</f>
        <v>0</v>
      </c>
      <c r="G162" s="138">
        <f t="shared" si="0"/>
        <v>1120821.44</v>
      </c>
    </row>
    <row r="163" spans="1:7" x14ac:dyDescent="0.2">
      <c r="A163" s="22" t="s">
        <v>39</v>
      </c>
      <c r="B163" s="137">
        <f>'DOE25'!F502</f>
        <v>1160.1099999999999</v>
      </c>
      <c r="C163" s="137">
        <f>'DOE25'!G502</f>
        <v>695115</v>
      </c>
      <c r="D163" s="137">
        <f>'DOE25'!H502</f>
        <v>7466.29</v>
      </c>
      <c r="E163" s="137">
        <f>'DOE25'!I502</f>
        <v>0</v>
      </c>
      <c r="F163" s="137">
        <f>'DOE25'!J502</f>
        <v>0</v>
      </c>
      <c r="G163" s="138">
        <f t="shared" si="0"/>
        <v>703741.4</v>
      </c>
    </row>
    <row r="164" spans="1:7" x14ac:dyDescent="0.2">
      <c r="A164" s="22" t="s">
        <v>246</v>
      </c>
      <c r="B164" s="137">
        <f>'DOE25'!F503</f>
        <v>44609.8</v>
      </c>
      <c r="C164" s="137">
        <f>'DOE25'!G503</f>
        <v>1735115</v>
      </c>
      <c r="D164" s="137">
        <f>'DOE25'!H503</f>
        <v>44838.04</v>
      </c>
      <c r="E164" s="137">
        <f>'DOE25'!I503</f>
        <v>0</v>
      </c>
      <c r="F164" s="137">
        <f>'DOE25'!J503</f>
        <v>0</v>
      </c>
      <c r="G164" s="138">
        <f t="shared" si="0"/>
        <v>1824562.84</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10" sqref="D10"/>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PELHAM SCHOOL DISTRICT, SAU28</v>
      </c>
    </row>
    <row r="3" spans="1:4" x14ac:dyDescent="0.2">
      <c r="B3" s="188" t="s">
        <v>1602</v>
      </c>
    </row>
    <row r="4" spans="1:4" x14ac:dyDescent="0.2">
      <c r="B4" t="s">
        <v>61</v>
      </c>
      <c r="C4" s="179">
        <f>IF('DOE25'!F665+'DOE25'!F670=0,0,ROUND('DOE25'!F672,0))</f>
        <v>12958</v>
      </c>
    </row>
    <row r="5" spans="1:4" x14ac:dyDescent="0.2">
      <c r="B5" t="s">
        <v>700</v>
      </c>
      <c r="C5" s="179">
        <f>IF('DOE25'!G665+'DOE25'!G670=0,0,ROUND('DOE25'!G672,0))</f>
        <v>0</v>
      </c>
    </row>
    <row r="6" spans="1:4" x14ac:dyDescent="0.2">
      <c r="B6" t="s">
        <v>62</v>
      </c>
      <c r="C6" s="179">
        <f>IF('DOE25'!H665+'DOE25'!H670=0,0,ROUND('DOE25'!H672,0))</f>
        <v>14642</v>
      </c>
    </row>
    <row r="7" spans="1:4" x14ac:dyDescent="0.2">
      <c r="B7" t="s">
        <v>701</v>
      </c>
      <c r="C7" s="179">
        <f>IF('DOE25'!I665+'DOE25'!I670=0,0,ROUND('DOE25'!I672,0))</f>
        <v>13523</v>
      </c>
    </row>
    <row r="9" spans="1:4" x14ac:dyDescent="0.2">
      <c r="A9" s="187" t="s">
        <v>94</v>
      </c>
      <c r="B9" s="188" t="s">
        <v>1603</v>
      </c>
      <c r="C9" s="181" t="s">
        <v>720</v>
      </c>
      <c r="D9" s="181" t="s">
        <v>721</v>
      </c>
    </row>
    <row r="10" spans="1:4" x14ac:dyDescent="0.2">
      <c r="A10">
        <v>1100</v>
      </c>
      <c r="B10" t="s">
        <v>702</v>
      </c>
      <c r="C10" s="179">
        <f>ROUND('DOE25'!L197+'DOE25'!L215+'DOE25'!L233+'DOE25'!L276+'DOE25'!L295+'DOE25'!L314,0)</f>
        <v>10338874</v>
      </c>
      <c r="D10" s="182">
        <f>ROUND((C10/$C$28)*100,1)</f>
        <v>36.299999999999997</v>
      </c>
    </row>
    <row r="11" spans="1:4" x14ac:dyDescent="0.2">
      <c r="A11">
        <v>1200</v>
      </c>
      <c r="B11" t="s">
        <v>703</v>
      </c>
      <c r="C11" s="179">
        <f>ROUND('DOE25'!L198+'DOE25'!L216+'DOE25'!L234+'DOE25'!L277+'DOE25'!L296+'DOE25'!L315,0)</f>
        <v>5374910</v>
      </c>
      <c r="D11" s="182">
        <f>ROUND((C11/$C$28)*100,1)</f>
        <v>18.899999999999999</v>
      </c>
    </row>
    <row r="12" spans="1:4" x14ac:dyDescent="0.2">
      <c r="A12">
        <v>1300</v>
      </c>
      <c r="B12" t="s">
        <v>704</v>
      </c>
      <c r="C12" s="179">
        <f>ROUND('DOE25'!L199+'DOE25'!L217+'DOE25'!L235+'DOE25'!L278+'DOE25'!L297+'DOE25'!L316,0)</f>
        <v>42432</v>
      </c>
      <c r="D12" s="182">
        <f>ROUND((C12/$C$28)*100,1)</f>
        <v>0.1</v>
      </c>
    </row>
    <row r="13" spans="1:4" x14ac:dyDescent="0.2">
      <c r="A13">
        <v>1400</v>
      </c>
      <c r="B13" t="s">
        <v>705</v>
      </c>
      <c r="C13" s="179">
        <f>ROUND('DOE25'!L200+'DOE25'!L218+'DOE25'!L236+'DOE25'!L279+'DOE25'!L298+'DOE25'!L317,0)</f>
        <v>636079</v>
      </c>
      <c r="D13" s="182">
        <f>ROUND((C13/$C$28)*100,1)</f>
        <v>2.2000000000000002</v>
      </c>
    </row>
    <row r="14" spans="1:4" x14ac:dyDescent="0.2">
      <c r="D14" s="182"/>
    </row>
    <row r="15" spans="1:4" x14ac:dyDescent="0.2">
      <c r="A15">
        <v>2100</v>
      </c>
      <c r="B15" t="s">
        <v>706</v>
      </c>
      <c r="C15" s="179">
        <f>ROUND('DOE25'!L202+'DOE25'!L220+'DOE25'!L238+'DOE25'!L281+'DOE25'!L300+'DOE25'!L319,0)</f>
        <v>2494494</v>
      </c>
      <c r="D15" s="182">
        <f t="shared" ref="D15:D27" si="0">ROUND((C15/$C$28)*100,1)</f>
        <v>8.8000000000000007</v>
      </c>
    </row>
    <row r="16" spans="1:4" x14ac:dyDescent="0.2">
      <c r="A16">
        <v>2200</v>
      </c>
      <c r="B16" t="s">
        <v>707</v>
      </c>
      <c r="C16" s="179">
        <f>ROUND('DOE25'!L203+'DOE25'!L221+'DOE25'!L239+'DOE25'!L282+'DOE25'!L301+'DOE25'!L320,0)</f>
        <v>976147</v>
      </c>
      <c r="D16" s="182">
        <f t="shared" si="0"/>
        <v>3.4</v>
      </c>
    </row>
    <row r="17" spans="1:4" x14ac:dyDescent="0.2">
      <c r="A17" s="183" t="s">
        <v>723</v>
      </c>
      <c r="B17" t="s">
        <v>738</v>
      </c>
      <c r="C17" s="179">
        <f>ROUND('DOE25'!L204+'DOE25'!L209+'DOE25'!L222+'DOE25'!L227+'DOE25'!L240+'DOE25'!L245+'DOE25'!L283+'DOE25'!L288+'DOE25'!L302+'DOE25'!L307+'DOE25'!L321+'DOE25'!L326,0)</f>
        <v>1780997</v>
      </c>
      <c r="D17" s="182">
        <f t="shared" si="0"/>
        <v>6.3</v>
      </c>
    </row>
    <row r="18" spans="1:4" x14ac:dyDescent="0.2">
      <c r="A18">
        <v>2400</v>
      </c>
      <c r="B18" t="s">
        <v>711</v>
      </c>
      <c r="C18" s="179">
        <f>ROUND('DOE25'!L205+'DOE25'!L223+'DOE25'!L241+'DOE25'!L284+'DOE25'!L303+'DOE25'!L322,0)</f>
        <v>1521916</v>
      </c>
      <c r="D18" s="182">
        <f t="shared" si="0"/>
        <v>5.3</v>
      </c>
    </row>
    <row r="19" spans="1:4" x14ac:dyDescent="0.2">
      <c r="A19">
        <v>2500</v>
      </c>
      <c r="B19" t="s">
        <v>708</v>
      </c>
      <c r="C19" s="179">
        <f>ROUND('DOE25'!L206+'DOE25'!L224+'DOE25'!L242+'DOE25'!L285+'DOE25'!L304+'DOE25'!L323,0)</f>
        <v>396074</v>
      </c>
      <c r="D19" s="182">
        <f t="shared" si="0"/>
        <v>1.4</v>
      </c>
    </row>
    <row r="20" spans="1:4" x14ac:dyDescent="0.2">
      <c r="A20">
        <v>2600</v>
      </c>
      <c r="B20" t="s">
        <v>709</v>
      </c>
      <c r="C20" s="179">
        <f>ROUND('DOE25'!L207+'DOE25'!L225+'DOE25'!L243+'DOE25'!L286+'DOE25'!L305+'DOE25'!L324,0)</f>
        <v>2325838</v>
      </c>
      <c r="D20" s="182">
        <f t="shared" si="0"/>
        <v>8.1999999999999993</v>
      </c>
    </row>
    <row r="21" spans="1:4" x14ac:dyDescent="0.2">
      <c r="A21">
        <v>2700</v>
      </c>
      <c r="B21" t="s">
        <v>710</v>
      </c>
      <c r="C21" s="179">
        <f>ROUND('DOE25'!L208+'DOE25'!L226+'DOE25'!L244+'DOE25'!L287+'DOE25'!L306+'DOE25'!L325,0)</f>
        <v>1689857</v>
      </c>
      <c r="D21" s="182">
        <f t="shared" si="0"/>
        <v>5.9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748155</v>
      </c>
      <c r="D25" s="182">
        <f t="shared" si="0"/>
        <v>2.6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167377.88</v>
      </c>
      <c r="D27" s="182">
        <f t="shared" si="0"/>
        <v>0.6</v>
      </c>
    </row>
    <row r="28" spans="1:4" x14ac:dyDescent="0.2">
      <c r="B28" s="187" t="s">
        <v>719</v>
      </c>
      <c r="C28" s="180">
        <f>SUM(C10:C27)</f>
        <v>28493150.879999999</v>
      </c>
      <c r="D28" s="184">
        <f>ROUND(SUM(D10:D27),0)</f>
        <v>100</v>
      </c>
    </row>
    <row r="29" spans="1:4" x14ac:dyDescent="0.2">
      <c r="A29">
        <v>4000</v>
      </c>
      <c r="B29" t="s">
        <v>724</v>
      </c>
      <c r="C29" s="179">
        <f>ROUND('DOE25'!L255+'DOE25'!L336+'DOE25'!L374+'DOE25'!L375+'DOE25'!L376+'DOE25'!L377+'DOE25'!L378+'DOE25'!L379+'DOE25'!L380,0)</f>
        <v>780952</v>
      </c>
    </row>
    <row r="30" spans="1:4" x14ac:dyDescent="0.2">
      <c r="B30" s="187" t="s">
        <v>725</v>
      </c>
      <c r="C30" s="180">
        <f>SUM(C28:C29)</f>
        <v>29274102.879999999</v>
      </c>
    </row>
    <row r="31" spans="1:4" x14ac:dyDescent="0.2">
      <c r="B31" s="33"/>
      <c r="C31" s="180"/>
    </row>
    <row r="32" spans="1:4" x14ac:dyDescent="0.2">
      <c r="A32">
        <v>5100</v>
      </c>
      <c r="B32" s="33" t="s">
        <v>726</v>
      </c>
      <c r="C32" s="180">
        <f>ROUND('DOE25'!L260+'DOE25'!L341,0)</f>
        <v>1040000</v>
      </c>
    </row>
    <row r="34" spans="1:4" x14ac:dyDescent="0.2">
      <c r="A34" s="187" t="s">
        <v>94</v>
      </c>
      <c r="B34" s="188" t="s">
        <v>1604</v>
      </c>
      <c r="C34" s="181" t="s">
        <v>720</v>
      </c>
      <c r="D34" s="181" t="s">
        <v>721</v>
      </c>
    </row>
    <row r="35" spans="1:4" x14ac:dyDescent="0.2">
      <c r="A35">
        <v>1100</v>
      </c>
      <c r="B35" s="185" t="s">
        <v>727</v>
      </c>
      <c r="C35" s="179">
        <f>ROUND('DOE25'!F60+'DOE25'!G60+'DOE25'!H60+'DOE25'!I60+'DOE25'!J60,0)</f>
        <v>20557888</v>
      </c>
      <c r="D35" s="182">
        <f t="shared" ref="D35:D40" si="1">ROUND((C35/$C$41)*100,1)</f>
        <v>68.900000000000006</v>
      </c>
    </row>
    <row r="36" spans="1:4" x14ac:dyDescent="0.2">
      <c r="B36" s="185" t="s">
        <v>739</v>
      </c>
      <c r="C36" s="179">
        <f>SUM('DOE25'!F112:J112)-SUM('DOE25'!G97:G110)+('DOE25'!F174+'DOE25'!F175+'DOE25'!I174+'DOE25'!I175)-C35</f>
        <v>186933.94000000134</v>
      </c>
      <c r="D36" s="182">
        <f t="shared" si="1"/>
        <v>0.6</v>
      </c>
    </row>
    <row r="37" spans="1:4" x14ac:dyDescent="0.2">
      <c r="A37" s="183" t="s">
        <v>835</v>
      </c>
      <c r="B37" s="185" t="s">
        <v>728</v>
      </c>
      <c r="C37" s="179">
        <f>ROUND('DOE25'!F117+'DOE25'!F118,0)</f>
        <v>7752073</v>
      </c>
      <c r="D37" s="182">
        <f t="shared" si="1"/>
        <v>26</v>
      </c>
    </row>
    <row r="38" spans="1:4" x14ac:dyDescent="0.2">
      <c r="A38" s="183" t="s">
        <v>734</v>
      </c>
      <c r="B38" s="185" t="s">
        <v>729</v>
      </c>
      <c r="C38" s="179">
        <f>ROUND(SUM('DOE25'!F140:J140)-SUM('DOE25'!F117:F119),0)</f>
        <v>462518</v>
      </c>
      <c r="D38" s="182">
        <f t="shared" si="1"/>
        <v>1.5</v>
      </c>
    </row>
    <row r="39" spans="1:4" x14ac:dyDescent="0.2">
      <c r="A39">
        <v>4000</v>
      </c>
      <c r="B39" s="185" t="s">
        <v>730</v>
      </c>
      <c r="C39" s="179">
        <f>ROUND('DOE25'!F169+'DOE25'!G169+'DOE25'!H169+'DOE25'!I169,0)</f>
        <v>885638</v>
      </c>
      <c r="D39" s="182">
        <f t="shared" si="1"/>
        <v>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29845050.940000001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PELHAM SCHOOL DISTRICT, SAU28</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2019-09-23T18:33:47Z</cp:lastPrinted>
  <dcterms:created xsi:type="dcterms:W3CDTF">1997-12-04T19:04:30Z</dcterms:created>
  <dcterms:modified xsi:type="dcterms:W3CDTF">2019-11-22T16:05:01Z</dcterms:modified>
</cp:coreProperties>
</file>