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Rate'!$A$1:$I$53</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3" i="1" l="1"/>
  <c r="H541" i="1"/>
  <c r="H528" i="1" l="1"/>
  <c r="H526" i="1"/>
  <c r="I358" i="1"/>
  <c r="H360" i="1"/>
  <c r="H358" i="1"/>
  <c r="I360" i="1"/>
  <c r="E37" i="14"/>
  <c r="G523" i="1" l="1"/>
  <c r="H523" i="1"/>
  <c r="I523" i="1"/>
  <c r="J523" i="1"/>
  <c r="K523" i="1"/>
  <c r="F523" i="1"/>
  <c r="G521" i="1"/>
  <c r="H521" i="1"/>
  <c r="I521" i="1"/>
  <c r="J521" i="1"/>
  <c r="K521" i="1"/>
  <c r="F521"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C110" i="2" s="1"/>
  <c r="L235" i="1"/>
  <c r="L236" i="1"/>
  <c r="G6" i="13"/>
  <c r="H6" i="13"/>
  <c r="L202" i="1"/>
  <c r="L220" i="1"/>
  <c r="L238" i="1"/>
  <c r="G7" i="13"/>
  <c r="H7" i="13"/>
  <c r="L203" i="1"/>
  <c r="L221" i="1"/>
  <c r="L239" i="1"/>
  <c r="G12" i="13"/>
  <c r="H12" i="13"/>
  <c r="L205" i="1"/>
  <c r="L223" i="1"/>
  <c r="L241" i="1"/>
  <c r="G14" i="13"/>
  <c r="H14" i="13"/>
  <c r="L207" i="1"/>
  <c r="L225" i="1"/>
  <c r="L243" i="1"/>
  <c r="G15" i="13"/>
  <c r="H15" i="13"/>
  <c r="L208" i="1"/>
  <c r="H647" i="1" s="1"/>
  <c r="L226" i="1"/>
  <c r="G650" i="1" s="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E110" i="2" s="1"/>
  <c r="L278" i="1"/>
  <c r="L279" i="1"/>
  <c r="L281" i="1"/>
  <c r="L282" i="1"/>
  <c r="L283" i="1"/>
  <c r="L284" i="1"/>
  <c r="L285" i="1"/>
  <c r="L286" i="1"/>
  <c r="L287" i="1"/>
  <c r="L288" i="1"/>
  <c r="L295" i="1"/>
  <c r="L296" i="1"/>
  <c r="L297" i="1"/>
  <c r="E111" i="2" s="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E131" i="2" s="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C40" i="10"/>
  <c r="F60" i="1"/>
  <c r="G60" i="1"/>
  <c r="H60" i="1"/>
  <c r="E56" i="2" s="1"/>
  <c r="I60" i="1"/>
  <c r="F79" i="1"/>
  <c r="C57" i="2" s="1"/>
  <c r="F94" i="1"/>
  <c r="C58" i="2" s="1"/>
  <c r="F111" i="1"/>
  <c r="G111" i="1"/>
  <c r="G112" i="1" s="1"/>
  <c r="H79" i="1"/>
  <c r="H94" i="1"/>
  <c r="H111" i="1"/>
  <c r="I111" i="1"/>
  <c r="I112" i="1" s="1"/>
  <c r="J111" i="1"/>
  <c r="J112" i="1" s="1"/>
  <c r="F121" i="1"/>
  <c r="F136" i="1"/>
  <c r="G121" i="1"/>
  <c r="G136" i="1"/>
  <c r="H121" i="1"/>
  <c r="H136" i="1"/>
  <c r="I121" i="1"/>
  <c r="I136" i="1"/>
  <c r="J121" i="1"/>
  <c r="J136" i="1"/>
  <c r="J140" i="1" s="1"/>
  <c r="F147" i="1"/>
  <c r="F162" i="1"/>
  <c r="G147" i="1"/>
  <c r="G162" i="1"/>
  <c r="H147" i="1"/>
  <c r="H162" i="1"/>
  <c r="H169" i="1" s="1"/>
  <c r="I147" i="1"/>
  <c r="I162" i="1"/>
  <c r="L250" i="1"/>
  <c r="C113" i="2" s="1"/>
  <c r="L332" i="1"/>
  <c r="E113" i="2" s="1"/>
  <c r="L254" i="1"/>
  <c r="L268" i="1"/>
  <c r="L269" i="1"/>
  <c r="L349" i="1"/>
  <c r="E142" i="2" s="1"/>
  <c r="L350" i="1"/>
  <c r="I665" i="1"/>
  <c r="I670" i="1"/>
  <c r="G662" i="1"/>
  <c r="H662" i="1"/>
  <c r="I669" i="1"/>
  <c r="C42" i="10"/>
  <c r="L374" i="1"/>
  <c r="L375" i="1"/>
  <c r="L376" i="1"/>
  <c r="L377" i="1"/>
  <c r="L378" i="1"/>
  <c r="L379" i="1"/>
  <c r="L380" i="1"/>
  <c r="B2" i="10"/>
  <c r="L344" i="1"/>
  <c r="E134" i="2" s="1"/>
  <c r="L345" i="1"/>
  <c r="L346" i="1"/>
  <c r="E137" i="2" s="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K270" i="1"/>
  <c r="J270" i="1"/>
  <c r="I270" i="1"/>
  <c r="H270" i="1"/>
  <c r="G270" i="1"/>
  <c r="F270" i="1"/>
  <c r="C131" i="2"/>
  <c r="A1" i="2"/>
  <c r="A2" i="2"/>
  <c r="C8" i="2"/>
  <c r="D8" i="2"/>
  <c r="E8" i="2"/>
  <c r="F8" i="2"/>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F56" i="2"/>
  <c r="E57"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E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F128" i="2"/>
  <c r="G128" i="2"/>
  <c r="D134" i="2"/>
  <c r="D144" i="2" s="1"/>
  <c r="F134" i="2"/>
  <c r="K419" i="1"/>
  <c r="K427" i="1"/>
  <c r="K433" i="1"/>
  <c r="L263" i="1"/>
  <c r="C135" i="2" s="1"/>
  <c r="E135" i="2"/>
  <c r="L264" i="1"/>
  <c r="C136" i="2" s="1"/>
  <c r="L265" i="1"/>
  <c r="C137" i="2" s="1"/>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G625" i="1" s="1"/>
  <c r="F177" i="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H446" i="1"/>
  <c r="F452" i="1"/>
  <c r="G452" i="1"/>
  <c r="H452" i="1"/>
  <c r="H461" i="1" s="1"/>
  <c r="H641" i="1" s="1"/>
  <c r="J641" i="1" s="1"/>
  <c r="F460" i="1"/>
  <c r="G460" i="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G622" i="1"/>
  <c r="G623" i="1"/>
  <c r="H627" i="1"/>
  <c r="H628" i="1"/>
  <c r="H629" i="1"/>
  <c r="H630" i="1"/>
  <c r="H631" i="1"/>
  <c r="H632" i="1"/>
  <c r="H633" i="1"/>
  <c r="H635" i="1"/>
  <c r="H636" i="1"/>
  <c r="H637" i="1"/>
  <c r="H638" i="1"/>
  <c r="G641" i="1"/>
  <c r="G643" i="1"/>
  <c r="G644" i="1"/>
  <c r="G651" i="1"/>
  <c r="G652" i="1"/>
  <c r="H652" i="1"/>
  <c r="G653" i="1"/>
  <c r="H653" i="1"/>
  <c r="G654" i="1"/>
  <c r="H654" i="1"/>
  <c r="H655" i="1"/>
  <c r="J655" i="1" s="1"/>
  <c r="C91" i="2"/>
  <c r="F18" i="2"/>
  <c r="E78" i="2"/>
  <c r="L419" i="1"/>
  <c r="H140" i="1"/>
  <c r="I545" i="1"/>
  <c r="E125" i="2" l="1"/>
  <c r="G338" i="1"/>
  <c r="G352" i="1" s="1"/>
  <c r="E124" i="2"/>
  <c r="E119" i="2"/>
  <c r="F461" i="1"/>
  <c r="H639" i="1" s="1"/>
  <c r="H408" i="1"/>
  <c r="H644" i="1" s="1"/>
  <c r="J644" i="1" s="1"/>
  <c r="G408" i="1"/>
  <c r="H645" i="1" s="1"/>
  <c r="J476" i="1"/>
  <c r="H626" i="1" s="1"/>
  <c r="G62" i="2"/>
  <c r="A40" i="12"/>
  <c r="L560" i="1"/>
  <c r="J545" i="1"/>
  <c r="G545" i="1"/>
  <c r="H476" i="1"/>
  <c r="H624" i="1" s="1"/>
  <c r="J624" i="1" s="1"/>
  <c r="G476" i="1"/>
  <c r="H623" i="1" s="1"/>
  <c r="F192" i="1"/>
  <c r="D31" i="2"/>
  <c r="F571" i="1"/>
  <c r="L529" i="1"/>
  <c r="J623" i="1"/>
  <c r="I408" i="1"/>
  <c r="E103" i="2"/>
  <c r="E121" i="2"/>
  <c r="F476" i="1"/>
  <c r="H622" i="1" s="1"/>
  <c r="J622" i="1" s="1"/>
  <c r="E62" i="2"/>
  <c r="E63" i="2" s="1"/>
  <c r="F661" i="1"/>
  <c r="L433" i="1"/>
  <c r="J651" i="1"/>
  <c r="G645" i="1"/>
  <c r="F408" i="1"/>
  <c r="H643" i="1" s="1"/>
  <c r="J643" i="1" s="1"/>
  <c r="F169" i="1"/>
  <c r="C18" i="2"/>
  <c r="J552" i="1"/>
  <c r="K549" i="1"/>
  <c r="L351" i="1"/>
  <c r="F130" i="2"/>
  <c r="F144" i="2" s="1"/>
  <c r="F145" i="2" s="1"/>
  <c r="G461" i="1"/>
  <c r="H640" i="1" s="1"/>
  <c r="I52" i="1"/>
  <c r="H620" i="1" s="1"/>
  <c r="I169" i="1"/>
  <c r="L401" i="1"/>
  <c r="C139" i="2" s="1"/>
  <c r="E123" i="2"/>
  <c r="I369" i="1"/>
  <c r="H634" i="1" s="1"/>
  <c r="J634" i="1" s="1"/>
  <c r="L270" i="1"/>
  <c r="C125" i="2"/>
  <c r="K257" i="1"/>
  <c r="K271" i="1" s="1"/>
  <c r="J257" i="1"/>
  <c r="L256" i="1"/>
  <c r="H257" i="1"/>
  <c r="H271" i="1" s="1"/>
  <c r="E31" i="2"/>
  <c r="C119" i="2"/>
  <c r="D18" i="2"/>
  <c r="F338" i="1"/>
  <c r="F352" i="1" s="1"/>
  <c r="C18" i="10"/>
  <c r="C13" i="10"/>
  <c r="C11" i="10"/>
  <c r="F257" i="1"/>
  <c r="F271" i="1" s="1"/>
  <c r="C112" i="2"/>
  <c r="A31" i="12"/>
  <c r="L362" i="1"/>
  <c r="G635" i="1" s="1"/>
  <c r="J635" i="1" s="1"/>
  <c r="L328" i="1"/>
  <c r="E122" i="2"/>
  <c r="L290" i="1"/>
  <c r="G661" i="1"/>
  <c r="D18" i="13"/>
  <c r="C18" i="13" s="1"/>
  <c r="D15" i="13"/>
  <c r="C15" i="13" s="1"/>
  <c r="C121" i="2"/>
  <c r="L247" i="1"/>
  <c r="L211" i="1"/>
  <c r="C120" i="2"/>
  <c r="L614" i="1"/>
  <c r="H571" i="1"/>
  <c r="I571" i="1"/>
  <c r="K545" i="1"/>
  <c r="K338" i="1"/>
  <c r="K352" i="1" s="1"/>
  <c r="H52" i="1"/>
  <c r="H619" i="1" s="1"/>
  <c r="J619" i="1" s="1"/>
  <c r="F85" i="2"/>
  <c r="H552" i="1"/>
  <c r="H112" i="1"/>
  <c r="H193" i="1" s="1"/>
  <c r="G629" i="1" s="1"/>
  <c r="J629" i="1" s="1"/>
  <c r="I476" i="1"/>
  <c r="H625" i="1" s="1"/>
  <c r="J625" i="1" s="1"/>
  <c r="L427" i="1"/>
  <c r="I257" i="1"/>
  <c r="I271" i="1" s="1"/>
  <c r="I552" i="1"/>
  <c r="F552" i="1"/>
  <c r="C32" i="10"/>
  <c r="C12" i="10"/>
  <c r="F112" i="1"/>
  <c r="L393" i="1"/>
  <c r="C138" i="2" s="1"/>
  <c r="E114" i="2"/>
  <c r="L309" i="1"/>
  <c r="E118" i="2"/>
  <c r="C20" i="10"/>
  <c r="D6" i="13"/>
  <c r="C6" i="13" s="1"/>
  <c r="E13" i="13"/>
  <c r="C13" i="13" s="1"/>
  <c r="G157" i="2"/>
  <c r="K598" i="1"/>
  <c r="G647" i="1" s="1"/>
  <c r="J647" i="1" s="1"/>
  <c r="K571" i="1"/>
  <c r="L570" i="1"/>
  <c r="L565" i="1"/>
  <c r="L571" i="1" s="1"/>
  <c r="C78" i="2"/>
  <c r="H545" i="1"/>
  <c r="G164" i="2"/>
  <c r="G161" i="2"/>
  <c r="G156" i="2"/>
  <c r="F78" i="2"/>
  <c r="F81" i="2" s="1"/>
  <c r="C70" i="2"/>
  <c r="D62" i="2"/>
  <c r="D63" i="2" s="1"/>
  <c r="C26" i="10"/>
  <c r="J617" i="1"/>
  <c r="J639" i="1"/>
  <c r="K551" i="1"/>
  <c r="I25" i="13"/>
  <c r="K550" i="1"/>
  <c r="J271" i="1"/>
  <c r="L534" i="1"/>
  <c r="K500" i="1"/>
  <c r="I460" i="1"/>
  <c r="I452" i="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D127" i="2"/>
  <c r="D128" i="2" s="1"/>
  <c r="D145" i="2" s="1"/>
  <c r="C124" i="2"/>
  <c r="C122" i="2"/>
  <c r="C118" i="2"/>
  <c r="C19" i="10"/>
  <c r="C16" i="10"/>
  <c r="D17" i="13"/>
  <c r="C17" i="13" s="1"/>
  <c r="D7" i="13"/>
  <c r="C7" i="13" s="1"/>
  <c r="E16" i="13"/>
  <c r="C16" i="13" s="1"/>
  <c r="C10" i="10"/>
  <c r="C109" i="2"/>
  <c r="L229" i="1"/>
  <c r="G24" i="14" s="1"/>
  <c r="L337" i="1"/>
  <c r="F62" i="2"/>
  <c r="F63" i="2" s="1"/>
  <c r="F104"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D51" i="2"/>
  <c r="J654" i="1"/>
  <c r="J653" i="1"/>
  <c r="G21" i="2"/>
  <c r="G31" i="2" s="1"/>
  <c r="J32" i="1"/>
  <c r="L434" i="1"/>
  <c r="G638" i="1" s="1"/>
  <c r="J638" i="1" s="1"/>
  <c r="J434" i="1"/>
  <c r="F434" i="1"/>
  <c r="K434" i="1"/>
  <c r="G134" i="2" s="1"/>
  <c r="G144" i="2" s="1"/>
  <c r="G145" i="2" s="1"/>
  <c r="G31" i="13"/>
  <c r="J193" i="1"/>
  <c r="G646" i="1" s="1"/>
  <c r="G169" i="1"/>
  <c r="G140" i="1"/>
  <c r="F140" i="1"/>
  <c r="G63" i="2"/>
  <c r="J618" i="1"/>
  <c r="G42" i="2"/>
  <c r="J51" i="1"/>
  <c r="G16" i="2"/>
  <c r="F545" i="1"/>
  <c r="H434" i="1"/>
  <c r="J620" i="1"/>
  <c r="D103" i="2"/>
  <c r="I140" i="1"/>
  <c r="A22" i="12"/>
  <c r="G50" i="2"/>
  <c r="G51" i="2" s="1"/>
  <c r="J652" i="1"/>
  <c r="G571" i="1"/>
  <c r="I434" i="1"/>
  <c r="G434" i="1"/>
  <c r="C27" i="10"/>
  <c r="E128" i="2" l="1"/>
  <c r="E145" i="2" s="1"/>
  <c r="J352" i="1"/>
  <c r="H604" i="1"/>
  <c r="L408" i="1"/>
  <c r="G637" i="1" s="1"/>
  <c r="J637" i="1" s="1"/>
  <c r="J645" i="1"/>
  <c r="C141" i="2"/>
  <c r="C144" i="2" s="1"/>
  <c r="G104" i="2"/>
  <c r="E51" i="2"/>
  <c r="E104" i="2"/>
  <c r="H646" i="1"/>
  <c r="C39" i="10"/>
  <c r="H648" i="1"/>
  <c r="E33" i="13"/>
  <c r="D35" i="13" s="1"/>
  <c r="G36" i="14"/>
  <c r="H36" i="14" s="1"/>
  <c r="I36" i="14" s="1"/>
  <c r="H660" i="1"/>
  <c r="H664" i="1" s="1"/>
  <c r="H667" i="1" s="1"/>
  <c r="I661" i="1"/>
  <c r="L338" i="1"/>
  <c r="L352" i="1" s="1"/>
  <c r="G633" i="1" s="1"/>
  <c r="J633" i="1" s="1"/>
  <c r="F660" i="1"/>
  <c r="C115" i="2"/>
  <c r="G4" i="14"/>
  <c r="H4" i="14" s="1"/>
  <c r="I4" i="14" s="1"/>
  <c r="L257" i="1"/>
  <c r="L271" i="1" s="1"/>
  <c r="G632" i="1" s="1"/>
  <c r="J632" i="1" s="1"/>
  <c r="C81" i="2"/>
  <c r="C36" i="10"/>
  <c r="F193" i="1"/>
  <c r="G627" i="1" s="1"/>
  <c r="J627" i="1" s="1"/>
  <c r="I193" i="1"/>
  <c r="G630" i="1" s="1"/>
  <c r="J630" i="1" s="1"/>
  <c r="L545" i="1"/>
  <c r="C63" i="2"/>
  <c r="F51" i="2"/>
  <c r="D104" i="2"/>
  <c r="C128" i="2"/>
  <c r="G33" i="13"/>
  <c r="D31" i="13"/>
  <c r="C31" i="13" s="1"/>
  <c r="I461" i="1"/>
  <c r="H642" i="1" s="1"/>
  <c r="G660" i="1"/>
  <c r="G664" i="1" s="1"/>
  <c r="G667" i="1" s="1"/>
  <c r="C25" i="13"/>
  <c r="I33" i="13"/>
  <c r="K552" i="1"/>
  <c r="C28" i="10"/>
  <c r="D23" i="10" s="1"/>
  <c r="H24" i="14"/>
  <c r="I24" i="14" s="1"/>
  <c r="C51" i="2"/>
  <c r="G631" i="1"/>
  <c r="J631" i="1" s="1"/>
  <c r="J646" i="1"/>
  <c r="G193" i="1"/>
  <c r="G628" i="1" s="1"/>
  <c r="J628" i="1" s="1"/>
  <c r="G626" i="1"/>
  <c r="J626" i="1" s="1"/>
  <c r="J52" i="1"/>
  <c r="H621" i="1" s="1"/>
  <c r="C38" i="10"/>
  <c r="K604" i="1" l="1"/>
  <c r="K605" i="1" s="1"/>
  <c r="G648" i="1" s="1"/>
  <c r="J648" i="1" s="1"/>
  <c r="H605" i="1"/>
  <c r="F663" i="1"/>
  <c r="I663" i="1" s="1"/>
  <c r="F664" i="1"/>
  <c r="F667" i="1" s="1"/>
  <c r="C145" i="2"/>
  <c r="H672" i="1"/>
  <c r="C6" i="10" s="1"/>
  <c r="I660" i="1"/>
  <c r="I664" i="1" s="1"/>
  <c r="I672" i="1" s="1"/>
  <c r="C7" i="10" s="1"/>
  <c r="D25" i="10"/>
  <c r="C104" i="2"/>
  <c r="G672" i="1"/>
  <c r="C5" i="10" s="1"/>
  <c r="D22" i="10"/>
  <c r="D18" i="10"/>
  <c r="D27" i="10"/>
  <c r="D15" i="10"/>
  <c r="D21" i="10"/>
  <c r="D24" i="10"/>
  <c r="D20" i="10"/>
  <c r="D11" i="10"/>
  <c r="D12" i="10"/>
  <c r="D13" i="10"/>
  <c r="D17" i="10"/>
  <c r="D19" i="10"/>
  <c r="D10" i="10"/>
  <c r="D26" i="10"/>
  <c r="C30" i="10"/>
  <c r="D16" i="10"/>
  <c r="D33" i="13"/>
  <c r="D36" i="13" s="1"/>
  <c r="C41" i="10"/>
  <c r="D38" i="10" s="1"/>
  <c r="F672" i="1" l="1"/>
  <c r="C4" i="10" s="1"/>
  <c r="I667" i="1"/>
  <c r="D28" i="10"/>
  <c r="D37" i="10"/>
  <c r="D36" i="10"/>
  <c r="D35" i="10"/>
  <c r="D40" i="10"/>
  <c r="D39" i="10"/>
  <c r="D41" i="10" l="1"/>
  <c r="G446" i="1" l="1"/>
  <c r="G640" i="1" s="1"/>
  <c r="J640" i="1" s="1"/>
  <c r="I439" i="1"/>
  <c r="J9" i="1" s="1"/>
  <c r="J19" i="1" l="1"/>
  <c r="G621" i="1" s="1"/>
  <c r="G8" i="2"/>
  <c r="G18" i="2" s="1"/>
  <c r="I446" i="1"/>
  <c r="G642" i="1" s="1"/>
  <c r="J642" i="1" s="1"/>
  <c r="J621"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<sst xmlns="http://schemas.openxmlformats.org/spreadsheetml/2006/main" count="5507" uniqueCount="1611">
  <si>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</si>
  <si>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</si>
  <si>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</si>
  <si>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</si>
  <si>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</si>
  <si>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</si>
  <si>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</si>
  <si>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</si>
  <si>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</si>
  <si>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</si>
  <si>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</si>
  <si>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</si>
  <si>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</si>
  <si>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</si>
  <si>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</si>
  <si>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</si>
  <si>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</si>
  <si>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</si>
  <si>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</si>
  <si>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</si>
  <si>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</si>
  <si>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</si>
  <si>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</si>
  <si>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</si>
  <si>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</si>
  <si>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</si>
  <si>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</si>
  <si>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</si>
  <si>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</si>
  <si>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</si>
  <si>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</si>
  <si>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</si>
  <si>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</si>
  <si>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</si>
  <si>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</si>
  <si>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</si>
  <si>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</si>
  <si>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</si>
  <si>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</si>
  <si>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</si>
  <si>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</si>
  <si>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</si>
  <si>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</si>
  <si>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</si>
  <si>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</si>
  <si>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</si>
  <si>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</si>
  <si>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</si>
  <si>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</si>
  <si>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</si>
  <si>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</si>
  <si>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</si>
  <si>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</si>
  <si>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</si>
  <si>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</si>
  <si>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</si>
  <si>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</si>
  <si>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</si>
  <si>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</si>
  <si>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</si>
  <si>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</si>
  <si>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</si>
  <si>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</si>
  <si>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</si>
  <si>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</si>
  <si>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</si>
  <si>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</si>
  <si>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</si>
  <si>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</si>
  <si>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</si>
  <si>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</si>
  <si>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</si>
  <si>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</si>
  <si>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</si>
  <si>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</si>
  <si>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</si>
  <si>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</si>
  <si>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</si>
  <si>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</si>
  <si>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</si>
  <si>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</si>
  <si>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</si>
  <si>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</si>
  <si>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</si>
  <si>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</si>
  <si>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</si>
  <si>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</si>
  <si>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</si>
  <si>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</si>
  <si>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</si>
  <si>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</si>
  <si>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</si>
  <si>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</si>
  <si>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</si>
  <si>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</si>
  <si>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</si>
  <si>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</si>
  <si>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</si>
  <si>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</si>
  <si>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</si>
  <si>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</si>
  <si>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</si>
  <si>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</si>
  <si>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</si>
  <si>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</si>
  <si>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</si>
  <si>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</si>
  <si>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</si>
  <si>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</si>
  <si>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</si>
  <si>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</si>
  <si>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</si>
  <si>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</si>
  <si>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</si>
  <si>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</si>
  <si>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</si>
  <si>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</si>
  <si>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</si>
  <si>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</si>
  <si>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</si>
  <si>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</si>
  <si>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</si>
  <si>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</si>
  <si>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</si>
  <si>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</si>
  <si>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</si>
  <si>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</si>
  <si>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</si>
  <si>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</si>
  <si>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</si>
  <si>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</si>
  <si>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</si>
  <si>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</si>
  <si>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</si>
  <si>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</si>
  <si>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</si>
  <si>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</si>
  <si>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</si>
  <si>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</si>
  <si>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</si>
  <si>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</si>
  <si>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</si>
  <si>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</si>
  <si>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</si>
  <si>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</si>
  <si>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</si>
  <si>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</si>
  <si>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</si>
  <si>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</si>
  <si>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</si>
  <si>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</si>
  <si>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</si>
  <si>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</si>
  <si>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</si>
  <si>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</si>
  <si>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</si>
  <si>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</si>
  <si>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</si>
  <si>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</si>
  <si>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</si>
  <si>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</si>
  <si>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</si>
  <si>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</si>
  <si>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</si>
  <si>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</si>
  <si>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</si>
  <si>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</si>
  <si>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</si>
  <si>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</si>
  <si>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</si>
  <si>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</si>
  <si>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</si>
  <si>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</si>
  <si>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</si>
  <si>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</si>
  <si>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</si>
  <si>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</si>
  <si>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</si>
  <si>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</si>
  <si>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</si>
  <si>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</si>
  <si>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</si>
  <si>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</si>
  <si>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</si>
  <si>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</si>
  <si>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</si>
  <si>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</si>
  <si>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</si>
  <si>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</si>
  <si>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</si>
  <si>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</si>
  <si>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</si>
  <si>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</si>
  <si>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</si>
  <si>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</si>
  <si>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</si>
  <si>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</si>
  <si>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</si>
  <si>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</si>
  <si>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</si>
  <si>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</si>
  <si>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</si>
  <si>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</si>
  <si>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</si>
  <si>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</si>
  <si>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</si>
  <si>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</si>
  <si>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</si>
  <si>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</si>
  <si>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</si>
  <si>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</si>
  <si>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</si>
  <si>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</si>
  <si>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</si>
  <si>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</si>
  <si>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</si>
  <si>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</si>
  <si>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</si>
  <si>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</si>
  <si>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</si>
  <si>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</si>
  <si>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</si>
  <si>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</si>
  <si>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</si>
  <si>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</si>
  <si>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</si>
  <si>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</si>
  <si>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</si>
  <si>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</si>
  <si>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</si>
  <si>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</si>
  <si>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</si>
  <si>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</si>
  <si>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</si>
  <si>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</si>
  <si>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</si>
  <si>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</si>
  <si>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</si>
  <si>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</si>
  <si>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</si>
  <si>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</si>
  <si>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</si>
  <si>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</si>
  <si>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</si>
  <si>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</si>
  <si>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</si>
  <si>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</si>
  <si>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</si>
  <si>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</si>
  <si>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</si>
  <si>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</si>
  <si>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</si>
  <si>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</si>
  <si>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</si>
  <si>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</si>
  <si>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</si>
  <si>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</si>
  <si>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</si>
  <si>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</si>
  <si>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</si>
  <si>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</si>
  <si>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</si>
  <si>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</si>
  <si>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</si>
  <si>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</si>
  <si>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</si>
  <si>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</si>
  <si>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</si>
  <si>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</si>
  <si>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</si>
  <si>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</si>
  <si>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</si>
  <si>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</si>
  <si>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</si>
  <si>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</si>
  <si>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</si>
  <si>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</si>
  <si>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</si>
  <si>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</si>
  <si>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</si>
  <si>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</si>
  <si>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</si>
  <si>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</si>
  <si>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</si>
  <si>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</si>
  <si>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</si>
  <si>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</si>
  <si>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</si>
  <si>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</si>
  <si>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</si>
  <si>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</si>
  <si>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</si>
  <si>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</si>
  <si>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</si>
  <si>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</si>
  <si>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</si>
  <si>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</si>
  <si>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</si>
  <si>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</si>
  <si>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</si>
  <si>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</si>
  <si>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</si>
  <si>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</si>
  <si>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</si>
  <si>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</si>
  <si>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</si>
  <si>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</si>
  <si>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</si>
  <si>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</si>
  <si>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</si>
  <si>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</si>
  <si>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</si>
  <si>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</si>
  <si>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</si>
  <si>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</si>
  <si>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</si>
  <si>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</si>
  <si>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</si>
  <si>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</si>
  <si>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</si>
  <si>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</si>
  <si>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</si>
  <si>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</si>
  <si>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</si>
  <si>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</si>
  <si>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</si>
  <si>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</si>
  <si>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</si>
  <si>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</si>
  <si>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</si>
  <si>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</si>
  <si>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</si>
  <si>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</si>
  <si>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</si>
  <si>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</si>
  <si>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</si>
  <si>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</si>
  <si>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</si>
  <si>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</si>
  <si>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</si>
  <si>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</si>
  <si>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</si>
  <si>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</si>
  <si>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</si>
  <si>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</si>
  <si>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</si>
  <si>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</si>
  <si>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</si>
  <si>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</si>
  <si>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</si>
  <si>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</si>
  <si>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</si>
  <si>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</si>
  <si>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</si>
  <si>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</si>
  <si>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</si>
  <si>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</si>
  <si>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</si>
  <si>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</si>
  <si>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</si>
  <si>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</si>
  <si>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</si>
  <si>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</si>
  <si>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</si>
  <si>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</si>
  <si>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</si>
  <si>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</si>
  <si>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</si>
  <si>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</si>
  <si>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</si>
  <si>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</si>
  <si>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</si>
  <si>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</si>
  <si>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</si>
  <si>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</si>
  <si>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</si>
  <si>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</si>
  <si>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</si>
  <si>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</si>
  <si>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</si>
  <si>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</si>
  <si>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</si>
  <si>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</si>
  <si>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</si>
  <si>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</si>
  <si>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</si>
  <si>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</si>
  <si>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</si>
  <si>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</si>
  <si>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</si>
  <si>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</si>
  <si>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</si>
  <si>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</si>
  <si>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</si>
  <si>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</si>
  <si>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</si>
  <si>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</si>
  <si>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</si>
  <si>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</si>
  <si>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</si>
  <si>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</si>
  <si>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</si>
  <si>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</si>
  <si>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</si>
  <si>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</si>
  <si>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</si>
  <si>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</si>
  <si>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</si>
  <si>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</si>
  <si>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</si>
  <si>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</si>
  <si>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</si>
  <si>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</si>
  <si>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</si>
  <si>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</si>
  <si>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</si>
  <si>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</si>
  <si>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</si>
  <si>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</si>
  <si>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</si>
  <si>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</si>
  <si>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</si>
  <si>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</si>
  <si>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</si>
  <si>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</si>
  <si>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</si>
  <si>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</si>
  <si>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</si>
  <si>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</si>
  <si>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</si>
  <si>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</si>
  <si>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</si>
  <si>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</si>
  <si>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</si>
  <si>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</si>
  <si>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</si>
  <si>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</si>
  <si>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</si>
  <si>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</si>
  <si>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</si>
  <si>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</si>
  <si>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</si>
  <si>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</si>
  <si>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</si>
  <si>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</si>
  <si>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</si>
  <si>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</si>
  <si>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</si>
  <si>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</si>
  <si>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</si>
  <si>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</si>
  <si>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</si>
  <si>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</si>
  <si>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</si>
  <si>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</si>
  <si>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</si>
  <si>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</si>
  <si>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</si>
  <si>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</si>
  <si>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</si>
  <si>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</si>
  <si>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</si>
  <si>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</si>
  <si>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</si>
  <si>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</si>
  <si>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</si>
  <si>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</si>
  <si>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</si>
  <si>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</si>
  <si>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</si>
  <si>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</si>
  <si>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</si>
  <si>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</si>
  <si>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</si>
  <si>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</si>
  <si>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</si>
  <si>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</si>
  <si>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</si>
  <si>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</si>
  <si>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</si>
  <si>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</si>
  <si>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</si>
  <si>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</si>
  <si>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</si>
  <si>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</si>
  <si>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</si>
  <si>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</si>
  <si>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</si>
  <si>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</si>
  <si>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</si>
  <si>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</si>
  <si>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</si>
  <si>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</si>
  <si>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</si>
  <si>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</si>
  <si>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</si>
  <si>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</si>
  <si>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</si>
  <si>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</si>
  <si>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</si>
  <si>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</si>
  <si>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</si>
  <si>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</si>
  <si>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</si>
  <si>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</si>
  <si>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</si>
  <si>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</si>
  <si>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</si>
  <si>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</si>
  <si>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</si>
  <si>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</si>
  <si>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</si>
  <si>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</si>
  <si>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</si>
  <si>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</si>
  <si>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</si>
  <si>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</si>
  <si>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</si>
  <si>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</si>
  <si>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</si>
  <si>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</si>
  <si>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</si>
  <si>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</si>
  <si>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</si>
  <si>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</si>
  <si>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</si>
  <si>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</si>
  <si>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</si>
  <si>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</si>
  <si>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</si>
  <si>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</si>
  <si>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</si>
  <si>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</si>
  <si>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</si>
  <si>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</si>
  <si>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</si>
  <si>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</si>
  <si>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</si>
  <si>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</si>
  <si>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</si>
  <si>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</si>
  <si>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</si>
  <si>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</si>
  <si>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</si>
  <si>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</si>
  <si>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</si>
  <si>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</si>
  <si>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</si>
  <si>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</si>
  <si>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</si>
  <si>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</si>
  <si>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</si>
  <si>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</si>
  <si>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</si>
  <si>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</si>
  <si>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</si>
  <si>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</si>
  <si>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</si>
  <si>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</si>
  <si>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</si>
  <si>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</si>
  <si>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</si>
  <si>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</si>
  <si>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</si>
  <si>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</si>
  <si>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</si>
  <si>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</si>
  <si>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</si>
  <si>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</si>
  <si>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</si>
  <si>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</si>
  <si>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</si>
  <si>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</si>
  <si>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</si>
  <si>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</si>
  <si>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</si>
  <si>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</si>
  <si>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</si>
  <si>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</si>
  <si>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</si>
  <si>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</si>
  <si>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</si>
  <si>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</si>
  <si>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</si>
  <si>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</si>
  <si>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</si>
  <si>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</si>
  <si>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</si>
  <si>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</si>
  <si>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</si>
  <si>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</si>
  <si>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</si>
  <si>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</si>
  <si>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</si>
  <si>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</si>
  <si>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</si>
  <si>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</si>
  <si>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</si>
  <si>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</si>
  <si>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</si>
  <si>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</si>
  <si>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</si>
  <si>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</si>
  <si>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</si>
  <si>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</si>
  <si>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</si>
  <si>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</si>
  <si>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</si>
  <si>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</si>
  <si>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</si>
  <si>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</si>
  <si>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</si>
  <si>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</si>
  <si>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</si>
  <si>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</si>
  <si>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</si>
  <si>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</si>
  <si>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</si>
  <si>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</si>
  <si>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</si>
  <si>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</si>
  <si>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</si>
  <si>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</si>
  <si>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</si>
  <si>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</si>
  <si>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</si>
  <si>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</si>
  <si>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</si>
  <si>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</si>
  <si>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</si>
  <si>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</si>
  <si>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</si>
  <si>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</si>
  <si>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</si>
  <si>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</si>
  <si>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</si>
  <si>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</si>
  <si>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</si>
  <si>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</si>
  <si>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</si>
  <si>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</si>
  <si>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</si>
  <si>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</si>
  <si>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</si>
  <si>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</si>
  <si>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</si>
  <si>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</si>
  <si>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</si>
  <si>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</si>
  <si>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</si>
  <si>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</si>
  <si>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</si>
  <si>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</si>
  <si>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</si>
  <si>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</si>
  <si>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</si>
  <si>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</si>
  <si>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</si>
  <si>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</si>
  <si>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</si>
  <si>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</si>
  <si>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</si>
  <si>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</si>
  <si>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</si>
  <si>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</si>
  <si>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</si>
  <si>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</si>
  <si>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</si>
  <si>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</si>
  <si>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</si>
  <si>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</si>
  <si>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</si>
  <si>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</si>
  <si>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</si>
  <si>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</si>
  <si>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</si>
  <si>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</si>
  <si>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</si>
  <si>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</si>
  <si>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</si>
  <si>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</si>
  <si>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</si>
  <si>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</si>
  <si>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</si>
  <si>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</si>
  <si>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</si>
  <si>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</si>
  <si>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</si>
  <si>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</si>
  <si>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</si>
  <si>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</si>
  <si>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</si>
  <si>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</si>
  <si>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</si>
  <si>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</si>
  <si>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</si>
  <si>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</si>
  <si>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</si>
  <si>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</si>
  <si>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</si>
  <si>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</si>
  <si>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</si>
  <si>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</si>
  <si>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</si>
  <si>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</si>
  <si>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</si>
  <si>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</si>
  <si>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</si>
  <si>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</si>
  <si>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</si>
  <si>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</si>
  <si>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</si>
  <si>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</si>
  <si>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</si>
  <si>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</si>
  <si>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</si>
  <si>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</si>
  <si>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</si>
  <si>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</si>
  <si>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</si>
  <si>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</si>
  <si>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</si>
  <si>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</si>
  <si>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</si>
  <si>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</si>
  <si>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</si>
  <si>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</si>
  <si>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</si>
  <si>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</si>
  <si>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</si>
  <si>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</si>
  <si>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</si>
  <si>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</si>
  <si>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</si>
  <si>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</si>
  <si>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</si>
  <si>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</si>
  <si>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</si>
  <si>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</si>
  <si>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</si>
  <si>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</si>
  <si>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</si>
  <si>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</si>
  <si>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</si>
  <si>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</si>
  <si>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</si>
  <si>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</si>
  <si>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</si>
  <si>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</si>
  <si>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</si>
  <si>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</si>
  <si>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</si>
  <si>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</si>
  <si>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</si>
  <si>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</si>
  <si>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</si>
  <si>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</si>
  <si>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</si>
  <si>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</si>
  <si>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</si>
  <si>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</si>
  <si>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</si>
  <si>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</si>
  <si>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</si>
  <si>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</si>
  <si>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</si>
  <si>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</si>
  <si>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</si>
  <si>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</si>
  <si>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</si>
  <si>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</si>
  <si>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</si>
  <si>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</si>
  <si>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</si>
  <si>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</si>
  <si>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</si>
  <si>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</si>
  <si>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</si>
  <si>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</si>
  <si>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</si>
  <si>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</si>
  <si>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</si>
  <si>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</si>
  <si>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</si>
  <si>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</si>
  <si>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</si>
  <si>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</si>
  <si>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</si>
  <si>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</si>
  <si>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</si>
  <si>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</si>
  <si>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</si>
  <si>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</si>
  <si>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</si>
  <si>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</si>
  <si>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</si>
  <si>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</si>
  <si>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</si>
  <si>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</si>
  <si>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</si>
  <si>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</si>
  <si>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</si>
  <si>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</si>
  <si>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</si>
  <si>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</si>
  <si>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</si>
  <si>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</si>
  <si>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</si>
  <si>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</si>
  <si>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</si>
  <si>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</si>
  <si>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</si>
  <si>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</si>
  <si>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</si>
  <si>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</si>
  <si>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</si>
  <si>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</si>
  <si>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</si>
  <si>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</si>
  <si>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</si>
  <si>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</si>
  <si>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</si>
  <si>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</si>
  <si>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</si>
  <si>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</si>
  <si>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</si>
  <si>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</si>
  <si>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</si>
  <si>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</si>
  <si>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</si>
  <si>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</si>
  <si>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</si>
  <si>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</si>
  <si>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</si>
  <si>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</si>
  <si>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</si>
  <si>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</si>
  <si>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</si>
  <si>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</si>
  <si>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</si>
  <si>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</si>
  <si>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</si>
  <si>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</si>
  <si>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</si>
  <si>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</si>
  <si>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</si>
  <si>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</si>
  <si>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</si>
  <si>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</si>
  <si>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</si>
  <si>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</si>
  <si>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</si>
  <si>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</si>
  <si>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</si>
  <si>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</si>
  <si>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</si>
  <si>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</si>
  <si>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</si>
  <si>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</si>
  <si>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</si>
  <si>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</si>
  <si>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</si>
  <si>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</si>
  <si>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</si>
  <si>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</si>
  <si>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</si>
  <si>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</si>
  <si>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</si>
  <si>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</si>
  <si>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</si>
  <si>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</si>
  <si>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</si>
  <si>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</si>
  <si>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</si>
  <si>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</si>
  <si>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</si>
  <si>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</si>
  <si>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</si>
  <si>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</si>
  <si>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</si>
  <si>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</si>
  <si>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</si>
  <si>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</si>
  <si>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</si>
  <si>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</si>
  <si>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</si>
  <si>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</si>
  <si>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</si>
  <si>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</si>
  <si>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</si>
  <si>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</si>
  <si>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</si>
  <si>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</si>
  <si>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</si>
  <si>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</si>
  <si>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</si>
  <si>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</si>
  <si>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</si>
  <si>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</si>
  <si>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</si>
  <si>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</si>
  <si>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</si>
  <si>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</si>
  <si>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</si>
  <si>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</si>
  <si>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</si>
  <si>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</si>
  <si>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</si>
  <si>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</si>
  <si>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</si>
  <si>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</si>
  <si>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</si>
  <si>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</si>
  <si>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</si>
  <si>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</si>
  <si>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</si>
  <si>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</si>
  <si>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</si>
  <si>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</si>
  <si>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</si>
  <si>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</si>
  <si>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</si>
  <si>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</si>
  <si>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</si>
  <si>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</si>
  <si>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</si>
  <si>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</si>
  <si>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</si>
  <si>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</si>
  <si>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</si>
  <si>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</si>
  <si>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</si>
  <si>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</si>
  <si>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</si>
  <si>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</si>
  <si>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</si>
  <si>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</si>
  <si>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</si>
  <si>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</si>
  <si>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</si>
  <si>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</si>
  <si>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</si>
  <si>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</si>
  <si>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</si>
  <si>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</si>
  <si>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</si>
  <si>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</si>
  <si>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</si>
  <si>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</si>
  <si>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</si>
  <si>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</si>
  <si>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</si>
  <si>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</si>
  <si>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</si>
  <si>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</si>
  <si>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</si>
  <si>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</si>
  <si>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</si>
  <si>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</si>
  <si>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</si>
  <si>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</si>
  <si>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</si>
  <si>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</si>
  <si>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</si>
  <si>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</si>
  <si>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</si>
  <si>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</si>
  <si>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</si>
  <si>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</si>
  <si>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</si>
  <si>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</si>
  <si>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</si>
  <si>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</si>
  <si>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</si>
  <si>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</si>
  <si>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</si>
  <si>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</si>
  <si>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</si>
  <si>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</si>
  <si>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</si>
  <si>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</si>
  <si>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</si>
  <si>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</si>
  <si>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</si>
  <si>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</si>
  <si>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</si>
  <si>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</si>
  <si>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</si>
  <si>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</si>
  <si>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</si>
  <si>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</si>
  <si>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</si>
  <si>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</si>
  <si>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</si>
  <si>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</si>
  <si>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</si>
  <si>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</si>
  <si>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</si>
  <si>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</si>
  <si>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</si>
  <si>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</si>
  <si>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</si>
  <si>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</si>
  <si>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</si>
  <si>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</si>
  <si>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</si>
  <si>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</si>
  <si>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</si>
  <si>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</si>
  <si>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</si>
  <si>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</si>
  <si>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</si>
  <si>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</si>
  <si>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</si>
  <si>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</si>
  <si>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</si>
  <si>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</si>
  <si>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</si>
  <si>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</si>
  <si>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</si>
  <si>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</si>
  <si>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</si>
  <si>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</si>
  <si>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</si>
  <si>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</si>
  <si>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</si>
  <si>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</si>
  <si>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</si>
  <si>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</si>
  <si>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</si>
  <si>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</si>
  <si>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</si>
  <si>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</si>
  <si>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</si>
  <si>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</si>
  <si>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</si>
  <si>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</si>
  <si>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</si>
  <si>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</si>
  <si>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</si>
  <si>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</si>
  <si>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</si>
  <si>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</si>
  <si>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</si>
  <si>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</si>
  <si>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</si>
  <si>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</si>
  <si>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</si>
  <si>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</si>
  <si>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</si>
  <si>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</si>
  <si>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</si>
  <si>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</si>
  <si>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</si>
  <si>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</si>
  <si>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</si>
  <si>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</si>
  <si>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</si>
  <si>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</si>
  <si>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</si>
  <si>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</si>
  <si>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</si>
  <si>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</si>
  <si>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</si>
  <si>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</si>
  <si>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</si>
  <si>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</si>
  <si>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</si>
  <si>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</si>
  <si>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</si>
  <si>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</si>
  <si>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</si>
  <si>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</si>
  <si>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</si>
  <si>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</si>
  <si>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</si>
  <si>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</si>
  <si>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</si>
  <si>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</si>
  <si>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</si>
  <si>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</si>
  <si>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</si>
  <si>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</si>
  <si>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</si>
  <si>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</si>
  <si>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</si>
  <si>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</si>
  <si>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</si>
  <si>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</si>
  <si>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</si>
  <si>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</si>
  <si>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</si>
  <si>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</si>
  <si>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</si>
  <si>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</si>
  <si>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</si>
  <si>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</si>
  <si>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</si>
  <si>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</si>
  <si>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</si>
  <si>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</si>
  <si>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</si>
  <si>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</si>
  <si>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</si>
  <si>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</si>
  <si>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</si>
  <si>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</si>
  <si>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</si>
  <si>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</si>
  <si>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</si>
  <si>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</si>
  <si>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</si>
  <si>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</si>
  <si>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</si>
  <si>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</si>
  <si>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</si>
  <si>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</si>
  <si>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</si>
  <si>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</si>
  <si>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</si>
  <si>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</si>
  <si>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</si>
  <si>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</si>
  <si>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</si>
  <si>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</si>
  <si>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</si>
  <si>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</si>
  <si>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</si>
  <si>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</si>
  <si>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</si>
  <si>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</si>
  <si>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</si>
  <si>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</si>
  <si>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</si>
  <si>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</si>
  <si>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</si>
  <si>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</si>
  <si>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</si>
  <si>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</si>
  <si>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</si>
  <si>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</si>
  <si>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</si>
  <si>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</si>
  <si>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</si>
  <si>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</si>
  <si>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</si>
  <si>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</si>
  <si>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</si>
  <si>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</si>
  <si>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</si>
  <si>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</si>
  <si>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</si>
  <si>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</si>
  <si>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</si>
  <si>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</si>
  <si>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</si>
  <si>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</si>
  <si>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</si>
  <si>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</si>
  <si>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</si>
  <si>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</si>
  <si>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</si>
  <si>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</si>
  <si>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</si>
  <si>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</si>
  <si>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</si>
  <si>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</si>
  <si>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</si>
  <si>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</si>
  <si>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</si>
  <si>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</si>
  <si>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</si>
  <si>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</si>
  <si>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</si>
  <si>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</si>
  <si>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</si>
  <si>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</si>
  <si>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</si>
  <si>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</si>
  <si>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</si>
  <si>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</si>
  <si>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</si>
  <si>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</si>
  <si>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</si>
  <si>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</si>
  <si>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</si>
  <si>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</si>
  <si>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</si>
  <si>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</si>
  <si>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</si>
  <si>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</si>
  <si>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</si>
  <si>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</si>
  <si>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</si>
  <si>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</si>
  <si>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</si>
  <si>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</si>
  <si>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</si>
  <si>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</si>
  <si>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</si>
  <si>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</si>
  <si>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</si>
  <si>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</si>
  <si>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</si>
  <si>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</si>
  <si>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</si>
  <si>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</si>
  <si>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</si>
  <si>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</si>
  <si>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</si>
  <si>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</si>
  <si>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</si>
  <si>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</si>
  <si>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</si>
  <si>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</si>
  <si>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</si>
  <si>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</si>
  <si>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</si>
  <si>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</si>
  <si>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</si>
  <si>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</si>
  <si>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</si>
  <si>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</si>
  <si>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</si>
  <si>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</si>
  <si>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</si>
  <si>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</si>
  <si>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</si>
  <si>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</si>
  <si>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</si>
  <si>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</si>
  <si>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</si>
  <si>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</si>
  <si>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</si>
  <si>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</si>
  <si>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</si>
  <si>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</si>
  <si>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</si>
  <si>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</si>
  <si>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</si>
  <si>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</si>
  <si>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</si>
  <si>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</si>
  <si>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</si>
  <si>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</si>
  <si>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</si>
  <si>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</si>
  <si>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</si>
  <si>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</si>
  <si>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</si>
  <si>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</si>
  <si>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</si>
  <si>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</si>
  <si>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</si>
  <si>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</si>
  <si>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</si>
  <si>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</si>
  <si>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</si>
  <si>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</si>
  <si>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</si>
  <si>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</si>
  <si>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</si>
  <si>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</si>
  <si>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</si>
  <si>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</si>
  <si>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</si>
  <si>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</si>
  <si>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</si>
  <si>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</si>
  <si>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</si>
  <si>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</si>
  <si>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</si>
  <si>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</si>
  <si>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</si>
  <si>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</si>
  <si>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</si>
  <si>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</si>
  <si>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</si>
  <si>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</si>
  <si>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</si>
  <si>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</si>
  <si>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</si>
  <si>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</si>
  <si>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</si>
  <si>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</si>
  <si>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</si>
  <si>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</si>
  <si>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</si>
  <si>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</si>
  <si>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</si>
  <si>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</si>
  <si>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</si>
  <si>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</si>
  <si>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</si>
  <si>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</si>
  <si>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</si>
  <si>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</si>
  <si>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</si>
  <si>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</si>
  <si>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</si>
  <si>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</si>
  <si>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</si>
  <si>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</si>
  <si>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</si>
  <si>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</si>
  <si>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</si>
  <si>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</si>
  <si>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</si>
  <si>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</si>
  <si>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</si>
  <si>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</si>
  <si>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</si>
  <si>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</si>
  <si>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</si>
  <si>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</si>
  <si>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</si>
  <si>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</si>
  <si>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</si>
  <si>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</si>
  <si>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</si>
  <si>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</si>
  <si>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</si>
  <si>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</si>
  <si>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</si>
  <si>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</si>
  <si>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</si>
  <si>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</si>
  <si>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</si>
  <si>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</si>
  <si>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</si>
  <si>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</si>
  <si>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</si>
  <si>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</si>
  <si>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</si>
  <si>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</si>
  <si>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</si>
  <si>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</si>
  <si>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</si>
  <si>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</si>
  <si>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</si>
  <si>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</si>
  <si>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</si>
  <si>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</si>
  <si>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</si>
  <si>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</si>
  <si>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</si>
  <si>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</si>
  <si>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</si>
  <si>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</si>
  <si>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</si>
  <si>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</si>
  <si>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</si>
  <si>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</si>
  <si>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</si>
  <si>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</si>
  <si>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</si>
  <si>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</si>
  <si>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</si>
  <si>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</si>
  <si>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</si>
  <si>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</si>
  <si>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</si>
  <si>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</si>
  <si>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</si>
  <si>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</si>
  <si>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</si>
  <si>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</si>
  <si>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</si>
  <si>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</si>
  <si>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</si>
  <si>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</si>
  <si>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</si>
  <si>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</si>
  <si>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</si>
  <si>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</si>
  <si>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</si>
  <si>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</si>
  <si>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</si>
  <si>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</si>
  <si>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</si>
  <si>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</si>
  <si>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</si>
  <si>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</si>
  <si>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</si>
  <si>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</si>
  <si>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</si>
  <si>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</si>
  <si>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</si>
  <si>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</si>
  <si>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</si>
  <si>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</si>
  <si>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</si>
  <si>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</si>
  <si>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</si>
  <si>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</si>
  <si>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</si>
  <si>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</si>
  <si>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</si>
  <si>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</si>
  <si>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</si>
  <si>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</si>
  <si>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</si>
  <si>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</si>
  <si>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</si>
  <si>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</si>
  <si>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</si>
  <si>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</si>
  <si>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</si>
  <si>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</si>
  <si>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</si>
  <si>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</si>
  <si>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</si>
  <si>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</si>
  <si>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</si>
  <si>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</si>
  <si>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</si>
  <si>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</si>
  <si>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</si>
  <si>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</si>
  <si>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</si>
  <si>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</si>
  <si>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</si>
  <si>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</si>
  <si>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</si>
  <si>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</si>
  <si>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</si>
  <si>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</si>
  <si>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</si>
  <si>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</si>
  <si>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</si>
  <si>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</si>
  <si>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</si>
  <si>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</si>
  <si>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</si>
  <si>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</si>
  <si>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</si>
  <si>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</si>
  <si>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</si>
  <si>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</si>
  <si>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</si>
  <si>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</si>
  <si>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</si>
  <si>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</si>
  <si>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</si>
  <si>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</si>
  <si>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</si>
  <si>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</si>
  <si>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</si>
  <si>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</si>
  <si>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</si>
  <si>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</si>
  <si>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</si>
  <si>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</si>
  <si>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</si>
  <si>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</si>
  <si>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</si>
  <si>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</si>
  <si>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</si>
  <si>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</si>
  <si>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</si>
  <si>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</si>
  <si>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</si>
  <si>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</si>
  <si>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</si>
  <si>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</si>
  <si>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</si>
  <si>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</si>
  <si>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</si>
  <si>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</si>
  <si>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</si>
  <si>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</si>
  <si>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</si>
  <si>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</si>
  <si>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</si>
  <si>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</si>
  <si>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</si>
  <si>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</si>
  <si>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</si>
  <si>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</si>
  <si>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</si>
  <si>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</si>
  <si>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</si>
  <si>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</si>
  <si>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</si>
  <si>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</si>
  <si>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</si>
  <si>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</si>
  <si>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</si>
  <si>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</si>
  <si>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</si>
  <si>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</si>
  <si>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</si>
  <si>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</si>
  <si>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</si>
  <si>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</si>
  <si>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</si>
  <si>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</si>
  <si>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</si>
  <si>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</si>
  <si>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</si>
  <si>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</si>
  <si>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</si>
  <si>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</si>
  <si>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</si>
  <si>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</si>
  <si>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</si>
  <si>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</si>
  <si>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</si>
  <si>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</si>
  <si>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</si>
  <si>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</si>
  <si>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</si>
  <si>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</si>
  <si>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</si>
  <si>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</si>
  <si>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</si>
  <si>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</si>
  <si>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</si>
  <si>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</si>
  <si>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</si>
  <si>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</si>
  <si>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</si>
  <si>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</si>
  <si>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</si>
  <si>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</si>
  <si>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</si>
  <si>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</si>
  <si>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</si>
  <si>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</si>
  <si>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</si>
  <si>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</si>
  <si>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</si>
  <si>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</si>
  <si>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</si>
  <si>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</si>
  <si>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</si>
  <si>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</si>
  <si>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</si>
  <si>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</si>
  <si>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</si>
  <si>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</si>
  <si>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</si>
  <si>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</si>
  <si>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</si>
  <si>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</si>
  <si>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</si>
  <si>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</si>
  <si>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</si>
  <si>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</si>
  <si>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</si>
  <si>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</si>
  <si>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</si>
  <si>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</si>
  <si>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</si>
  <si>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</si>
  <si>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</si>
  <si>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</si>
  <si>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</si>
  <si>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</si>
  <si>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</si>
  <si>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</si>
  <si>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</si>
  <si>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</si>
  <si>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</si>
  <si>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</si>
  <si>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</si>
  <si>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</si>
  <si>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</si>
  <si>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</si>
  <si>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</si>
  <si>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</si>
  <si>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</si>
  <si>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</si>
  <si>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</si>
  <si>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</si>
  <si>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</si>
  <si>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</si>
  <si>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</si>
  <si>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</si>
  <si>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</si>
  <si>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</si>
  <si>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</si>
  <si>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</si>
  <si>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</si>
  <si>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</si>
  <si>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</si>
  <si>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</si>
  <si>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</si>
  <si>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</si>
  <si>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</si>
  <si>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</si>
  <si>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</si>
  <si>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</si>
  <si>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</si>
  <si>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</si>
  <si>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</si>
  <si>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</si>
  <si>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</si>
  <si>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</si>
  <si>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</si>
  <si>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</si>
  <si>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</si>
  <si>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</si>
  <si>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</si>
  <si>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</si>
  <si>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</si>
  <si>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</si>
  <si>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</si>
  <si>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</si>
  <si>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</si>
  <si>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Pembroke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</si>
</sst>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427</v>
      </c>
      <c r="C2" s="21">
        <v>427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346639.78</v>
      </c>
      <c r="G9" s="18">
        <v>726625.8</v>
      </c>
      <c r="H9" s="18"/>
      <c r="I9" s="18"/>
      <c r="J9" s="67">
        <f>SUM(I439)</f>
        <v>784731.43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638746.47</v>
      </c>
      <c r="G13" s="18"/>
      <c r="H13" s="18">
        <v>39380.86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606327.53</v>
      </c>
      <c r="G14" s="18">
        <v>9676.0300000000007</v>
      </c>
      <c r="H14" s="18">
        <v>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38871.14</v>
      </c>
      <c r="H16" s="18">
        <v>0</v>
      </c>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1591713.78</v>
      </c>
      <c r="G19" s="41">
        <f>SUM(G9:G18)</f>
        <v>775172.97000000009</v>
      </c>
      <c r="H19" s="41">
        <f>SUM(H9:H18)</f>
        <v>39380.86</v>
      </c>
      <c r="I19" s="41">
        <f>SUM(I9:I18)</f>
        <v>0</v>
      </c>
      <c r="J19" s="41">
        <f>SUM(J9:J18)</f>
        <v>784731.43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608316.68000000005</v>
      </c>
      <c r="H22" s="18">
        <v>30429.79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391068.93</v>
      </c>
      <c r="G23" s="18">
        <v>11798.04</v>
      </c>
      <c r="H23" s="18">
        <v>1622.9</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47572.12</v>
      </c>
      <c r="G24" s="18">
        <v>0</v>
      </c>
      <c r="H24" s="18">
        <v>0</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25334.85</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463975.89999999997</v>
      </c>
      <c r="G32" s="41">
        <f>SUM(G22:G31)</f>
        <v>620114.72000000009</v>
      </c>
      <c r="H32" s="41">
        <f>SUM(H22:H31)</f>
        <v>32052.690000000002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111000</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155058.25</v>
      </c>
      <c r="H48" s="18">
        <v>7328.17</v>
      </c>
      <c r="I48" s="18"/>
      <c r="J48" s="13">
        <f>SUM(I459)</f>
        <v>784731.43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1016737.88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1127737.8799999999</v>
      </c>
      <c r="G51" s="41">
        <f>SUM(G35:G50)</f>
        <v>155058.25</v>
      </c>
      <c r="H51" s="41">
        <f>SUM(H35:H50)</f>
        <v>7328.17</v>
      </c>
      <c r="I51" s="41">
        <f>SUM(I35:I50)</f>
        <v>0</v>
      </c>
      <c r="J51" s="41">
        <f>SUM(J35:J50)</f>
        <v>784731.43</v>
      </c>
      <c r="K51" s="45" t="s">
        <v>288</v>
      </c>
      <c r="L51" s="45" t="s">
        <v>288</v>
      </c>
      <c r="N51" s="264"/>
    </row>
    <row r="52" spans="1:14" s="3" customFormat="1" ht="12.2" customHeight="1" thickTop="1" x14ac:dyDescent="0.15">
      <c r="A52" s="38" t="s">
        <v>455</v>
      </c>
      <c r="B52" s="39" t="s">
        <v>289</v>
      </c>
      <c r="C52" s="6">
        <v>37</v>
      </c>
      <c r="D52" s="39" t="s">
        <v>653</v>
      </c>
      <c r="E52" s="39"/>
      <c r="F52" s="41">
        <f>F51+F32</f>
        <v>1591713.7799999998</v>
      </c>
      <c r="G52" s="41">
        <f>G51+G32</f>
        <v>775172.97000000009</v>
      </c>
      <c r="H52" s="41">
        <f>H51+H32</f>
        <v>39380.86</v>
      </c>
      <c r="I52" s="41">
        <f>I51+I32</f>
        <v>0</v>
      </c>
      <c r="J52" s="41">
        <f>J51+J32</f>
        <v>784731.43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9596405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9596405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56664.45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5303170.16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1060945.3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6420779.9100000001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7938.89</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7938.89</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13181.57</v>
      </c>
      <c r="G96" s="18">
        <v>378.02</v>
      </c>
      <c r="H96" s="18"/>
      <c r="I96" s="18"/>
      <c r="J96" s="18">
        <v>82.08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350832.23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6475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49580.71</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144736.07999999999</v>
      </c>
      <c r="G110" s="18">
        <v>15359.71</v>
      </c>
      <c r="H110" s="18">
        <v>1000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213973.36</v>
      </c>
      <c r="G111" s="41">
        <f>SUM(G96:G110)</f>
        <v>366569.96</v>
      </c>
      <c r="H111" s="41">
        <f>SUM(H96:H110)</f>
        <v>1000</v>
      </c>
      <c r="I111" s="41">
        <f>SUM(I96:I110)</f>
        <v>0</v>
      </c>
      <c r="J111" s="41">
        <f>SUM(J96:J110)</f>
        <v>82.08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16239097.16</v>
      </c>
      <c r="G112" s="41">
        <f>G60+G111</f>
        <v>366569.96</v>
      </c>
      <c r="H112" s="41">
        <f>H60+H79+H94+H111</f>
        <v>1000</v>
      </c>
      <c r="I112" s="41">
        <f>I60+I111</f>
        <v>0</v>
      </c>
      <c r="J112" s="41">
        <f>J60+J111</f>
        <v>82.08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5026147.21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1413491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10824.03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6450462.2400000002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219937.03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79071.63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24090.67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12547.2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935.34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335646.53</v>
      </c>
      <c r="G136" s="41">
        <f>SUM(G123:G135)</f>
        <v>935.34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6786108.7700000005</v>
      </c>
      <c r="G140" s="41">
        <f>G121+SUM(G136:G137)</f>
        <v>935.34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291016.48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106208.86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237996.17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352361.31</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164146.63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93503.03</v>
      </c>
      <c r="G161" s="18">
        <v>0</v>
      </c>
      <c r="H161" s="18">
        <v>0</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610010.97</v>
      </c>
      <c r="G162" s="41">
        <f>SUM(G150:G161)</f>
        <v>237996.17</v>
      </c>
      <c r="H162" s="41">
        <f>SUM(H150:H161)</f>
        <v>397225.33999999997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610010.97</v>
      </c>
      <c r="G169" s="41">
        <f>G147+G162+SUM(G163:G168)</f>
        <v>237996.17</v>
      </c>
      <c r="H169" s="41">
        <f>H147+H162+SUM(H163:H168)</f>
        <v>397225.33999999997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11358.32</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11358.32</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27812</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7284.56</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35096.559999999998</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35096.559999999998</v>
      </c>
      <c r="G192" s="41">
        <f>G183+SUM(G188:G191)</f>
        <v>11358.32</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23670313.459999997</v>
      </c>
      <c r="G193" s="47">
        <f>G112+G140+G169+G192</f>
        <v>616859.79</v>
      </c>
      <c r="H193" s="47">
        <f>H112+H140+H169+H192</f>
        <v>398225.33999999997</v>
      </c>
      <c r="I193" s="47">
        <f>I112+I140+I169+I192</f>
        <v>0</v>
      </c>
      <c r="J193" s="47">
        <f>J112+J140+J192</f>
        <v>82.08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3516159.8</v>
      </c>
      <c r="G197" s="18">
        <v>1964816.97</v>
      </c>
      <c r="H197" s="18">
        <v>88735.5</v>
      </c>
      <c r="I197" s="18">
        <v>82807.44</v>
      </c>
      <c r="J197" s="18">
        <v>52343.1</v>
      </c>
      <c r="K197" s="18">
        <v>0</v>
      </c>
      <c r="L197" s="19">
        <f>SUM(F197:K197)</f>
        <v>5704862.8099999996</v>
      </c>
      <c r="M197" s="8"/>
      <c r="N197" s="266"/>
    </row>
    <row r="198" spans="1:14" s="3" customFormat="1" ht="12.2" customHeight="1" x14ac:dyDescent="0.15">
      <c r="A198" s="1" t="s">
        <v>439</v>
      </c>
      <c r="B198" s="2" t="s">
        <v>341</v>
      </c>
      <c r="C198" s="2" t="s">
        <v>291</v>
      </c>
      <c r="D198" s="2" t="s">
        <v>431</v>
      </c>
      <c r="E198" s="6">
        <v>1200</v>
      </c>
      <c r="F198" s="18">
        <v>1303274.8700000001</v>
      </c>
      <c r="G198" s="18">
        <v>728265.13</v>
      </c>
      <c r="H198" s="18">
        <v>377875.83</v>
      </c>
      <c r="I198" s="18">
        <v>2154.83</v>
      </c>
      <c r="J198" s="18">
        <v>0</v>
      </c>
      <c r="K198" s="18">
        <v>547.30999999999995</v>
      </c>
      <c r="L198" s="19">
        <f>SUM(F198:K198)</f>
        <v>2412117.9700000002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44235.74</v>
      </c>
      <c r="G200" s="18">
        <v>24718.77</v>
      </c>
      <c r="H200" s="18">
        <v>5158.5</v>
      </c>
      <c r="I200" s="18">
        <v>5017.9399999999996</v>
      </c>
      <c r="J200" s="18">
        <v>0</v>
      </c>
      <c r="K200" s="18">
        <v>580</v>
      </c>
      <c r="L200" s="19">
        <f>SUM(F200:K200)</f>
        <v>79710.95</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333947.32</v>
      </c>
      <c r="G202" s="18">
        <v>186608.52</v>
      </c>
      <c r="H202" s="18">
        <v>500905.34</v>
      </c>
      <c r="I202" s="18">
        <v>2664.21</v>
      </c>
      <c r="J202" s="18">
        <v>0</v>
      </c>
      <c r="K202" s="18">
        <v>0</v>
      </c>
      <c r="L202" s="19">
        <f t="shared" ref="L202:L208" si="0">SUM(F202:K202)</f>
        <v>1024125.3899999999</v>
      </c>
      <c r="M202" s="8"/>
      <c r="N202" s="266"/>
    </row>
    <row r="203" spans="1:14" s="3" customFormat="1" ht="12.2" customHeight="1" x14ac:dyDescent="0.15">
      <c r="A203" s="1" t="s">
        <v>443</v>
      </c>
      <c r="B203" s="2" t="s">
        <v>341</v>
      </c>
      <c r="C203" s="2" t="s">
        <v>295</v>
      </c>
      <c r="D203" s="2" t="s">
        <v>431</v>
      </c>
      <c r="E203" s="6">
        <v>2200</v>
      </c>
      <c r="F203" s="18">
        <v>107853.6</v>
      </c>
      <c r="G203" s="18">
        <v>60268.19</v>
      </c>
      <c r="H203" s="18">
        <v>41229.870000000003</v>
      </c>
      <c r="I203" s="18">
        <v>15644.07</v>
      </c>
      <c r="J203" s="18">
        <v>12819.86</v>
      </c>
      <c r="K203" s="18"/>
      <c r="L203" s="19">
        <f t="shared" si="0"/>
        <v>237815.59000000003</v>
      </c>
      <c r="M203" s="8"/>
      <c r="N203" s="266"/>
    </row>
    <row r="204" spans="1:14" s="3" customFormat="1" ht="12.2" customHeight="1" x14ac:dyDescent="0.15">
      <c r="A204" s="1" t="s">
        <v>444</v>
      </c>
      <c r="B204" s="2" t="s">
        <v>341</v>
      </c>
      <c r="C204" s="2" t="s">
        <v>296</v>
      </c>
      <c r="D204" s="2" t="s">
        <v>431</v>
      </c>
      <c r="E204" s="6">
        <v>2300</v>
      </c>
      <c r="F204" s="18">
        <v>4119.0200000000004</v>
      </c>
      <c r="G204" s="18">
        <v>2301.69</v>
      </c>
      <c r="H204" s="18">
        <v>358944.61</v>
      </c>
      <c r="I204" s="18">
        <v>0</v>
      </c>
      <c r="J204" s="18"/>
      <c r="K204" s="18">
        <v>9265.25</v>
      </c>
      <c r="L204" s="19">
        <f t="shared" si="0"/>
        <v>374630.57</v>
      </c>
      <c r="M204" s="8"/>
      <c r="N204" s="266"/>
    </row>
    <row r="205" spans="1:14" s="3" customFormat="1" ht="12.2" customHeight="1" x14ac:dyDescent="0.15">
      <c r="A205" s="1" t="s">
        <v>445</v>
      </c>
      <c r="B205" s="2" t="s">
        <v>341</v>
      </c>
      <c r="C205" s="2" t="s">
        <v>297</v>
      </c>
      <c r="D205" s="2" t="s">
        <v>431</v>
      </c>
      <c r="E205" s="6">
        <v>2400</v>
      </c>
      <c r="F205" s="18">
        <v>533668.64</v>
      </c>
      <c r="G205" s="18">
        <v>298212.03999999998</v>
      </c>
      <c r="H205" s="18">
        <v>39620.19</v>
      </c>
      <c r="I205" s="18">
        <v>1479.76</v>
      </c>
      <c r="J205" s="18">
        <v>0</v>
      </c>
      <c r="K205" s="18">
        <v>1550</v>
      </c>
      <c r="L205" s="19">
        <f t="shared" si="0"/>
        <v>874530.62999999989</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319779.33</v>
      </c>
      <c r="G207" s="18">
        <v>178691.5</v>
      </c>
      <c r="H207" s="18">
        <v>207656.15</v>
      </c>
      <c r="I207" s="18">
        <v>152533.04999999999</v>
      </c>
      <c r="J207" s="18">
        <v>1674.36</v>
      </c>
      <c r="K207" s="18"/>
      <c r="L207" s="19">
        <f t="shared" si="0"/>
        <v>860334.39</v>
      </c>
      <c r="M207" s="8"/>
      <c r="N207" s="266"/>
    </row>
    <row r="208" spans="1:14" s="3" customFormat="1" ht="12.2" customHeight="1" x14ac:dyDescent="0.15">
      <c r="A208" s="1" t="s">
        <v>448</v>
      </c>
      <c r="B208" s="2" t="s">
        <v>341</v>
      </c>
      <c r="C208" s="2" t="s">
        <v>300</v>
      </c>
      <c r="D208" s="2" t="s">
        <v>431</v>
      </c>
      <c r="E208" s="6">
        <v>2700</v>
      </c>
      <c r="F208" s="18"/>
      <c r="G208" s="18"/>
      <c r="H208" s="18">
        <v>501928.46</v>
      </c>
      <c r="I208" s="18"/>
      <c r="J208" s="18"/>
      <c r="K208" s="18"/>
      <c r="L208" s="19">
        <f t="shared" si="0"/>
        <v>501928.46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6163038.3199999994</v>
      </c>
      <c r="G211" s="41">
        <f t="shared" si="1"/>
        <v>3443882.81</v>
      </c>
      <c r="H211" s="41">
        <f t="shared" si="1"/>
        <v>2122054.4499999997</v>
      </c>
      <c r="I211" s="41">
        <f t="shared" si="1"/>
        <v>262301.3</v>
      </c>
      <c r="J211" s="41">
        <f t="shared" si="1"/>
        <v>66837.319999999992</v>
      </c>
      <c r="K211" s="41">
        <f t="shared" si="1"/>
        <v>11942.56</v>
      </c>
      <c r="L211" s="41">
        <f t="shared" si="1"/>
        <v>12070056.760000002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2750694.61</v>
      </c>
      <c r="G233" s="18">
        <v>1484389.08</v>
      </c>
      <c r="H233" s="18">
        <v>68026.62</v>
      </c>
      <c r="I233" s="18">
        <v>59392.7</v>
      </c>
      <c r="J233" s="18">
        <v>50153.96</v>
      </c>
      <c r="K233" s="18">
        <v>0</v>
      </c>
      <c r="L233" s="19">
        <f>SUM(F233:K233)</f>
        <v>4412656.97</v>
      </c>
      <c r="M233" s="8"/>
      <c r="N233" s="266"/>
    </row>
    <row r="234" spans="1:14" s="3" customFormat="1" ht="12.2" customHeight="1" x14ac:dyDescent="0.15">
      <c r="A234" s="1" t="s">
        <v>439</v>
      </c>
      <c r="B234" s="2" t="s">
        <v>350</v>
      </c>
      <c r="C234" s="2" t="s">
        <v>291</v>
      </c>
      <c r="D234" s="2" t="s">
        <v>431</v>
      </c>
      <c r="E234" s="6">
        <v>1200</v>
      </c>
      <c r="F234" s="18">
        <v>873089.43</v>
      </c>
      <c r="G234" s="18">
        <v>471155.33</v>
      </c>
      <c r="H234" s="18">
        <v>288236.96999999997</v>
      </c>
      <c r="I234" s="18">
        <v>9037.7199999999993</v>
      </c>
      <c r="J234" s="18">
        <v>0</v>
      </c>
      <c r="K234" s="18">
        <v>770</v>
      </c>
      <c r="L234" s="19">
        <f>SUM(F234:K234)</f>
        <v>1642289.45</v>
      </c>
      <c r="M234" s="8"/>
      <c r="N234" s="266"/>
    </row>
    <row r="235" spans="1:14" s="3" customFormat="1" ht="12.2" customHeight="1" x14ac:dyDescent="0.15">
      <c r="A235" s="1" t="s">
        <v>440</v>
      </c>
      <c r="B235" s="2" t="s">
        <v>350</v>
      </c>
      <c r="C235" s="2" t="s">
        <v>292</v>
      </c>
      <c r="D235" s="2" t="s">
        <v>431</v>
      </c>
      <c r="E235" s="6">
        <v>1300</v>
      </c>
      <c r="F235" s="18">
        <v>403213.5</v>
      </c>
      <c r="G235" s="18">
        <v>217590.75</v>
      </c>
      <c r="H235" s="18">
        <v>141749.82999999999</v>
      </c>
      <c r="I235" s="18">
        <v>15909.34</v>
      </c>
      <c r="J235" s="18">
        <v>0</v>
      </c>
      <c r="K235" s="18">
        <v>0</v>
      </c>
      <c r="L235" s="19">
        <f>SUM(F235:K235)</f>
        <v>778463.41999999993</v>
      </c>
      <c r="M235" s="8"/>
      <c r="N235" s="266"/>
    </row>
    <row r="236" spans="1:14" s="3" customFormat="1" ht="12.2" customHeight="1" x14ac:dyDescent="0.15">
      <c r="A236" s="1" t="s">
        <v>441</v>
      </c>
      <c r="B236" s="2" t="s">
        <v>350</v>
      </c>
      <c r="C236" s="2" t="s">
        <v>293</v>
      </c>
      <c r="D236" s="2" t="s">
        <v>431</v>
      </c>
      <c r="E236" s="6">
        <v>1400</v>
      </c>
      <c r="F236" s="18">
        <v>246112.24</v>
      </c>
      <c r="G236" s="18">
        <v>132812.39000000001</v>
      </c>
      <c r="H236" s="18">
        <v>62105.68</v>
      </c>
      <c r="I236" s="18">
        <v>18496.64</v>
      </c>
      <c r="J236" s="18">
        <v>682.7</v>
      </c>
      <c r="K236" s="18">
        <v>43985.73</v>
      </c>
      <c r="L236" s="19">
        <f>SUM(F236:K236)</f>
        <v>504195.38</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395608.77</v>
      </c>
      <c r="G238" s="18">
        <v>213486.93</v>
      </c>
      <c r="H238" s="18">
        <v>134279.59</v>
      </c>
      <c r="I238" s="18">
        <v>1119.23</v>
      </c>
      <c r="J238" s="18">
        <v>-5.01</v>
      </c>
      <c r="K238" s="18">
        <v>0</v>
      </c>
      <c r="L238" s="19">
        <f t="shared" ref="L238:L244" si="4">SUM(F238:K238)</f>
        <v>744489.50999999989</v>
      </c>
      <c r="M238" s="8"/>
      <c r="N238" s="266"/>
    </row>
    <row r="239" spans="1:14" s="3" customFormat="1" ht="12.2" customHeight="1" x14ac:dyDescent="0.15">
      <c r="A239" s="1" t="s">
        <v>443</v>
      </c>
      <c r="B239" s="2" t="s">
        <v>350</v>
      </c>
      <c r="C239" s="2" t="s">
        <v>295</v>
      </c>
      <c r="D239" s="2" t="s">
        <v>431</v>
      </c>
      <c r="E239" s="6">
        <v>2200</v>
      </c>
      <c r="F239" s="18">
        <v>74868</v>
      </c>
      <c r="G239" s="18">
        <v>40401.879999999997</v>
      </c>
      <c r="H239" s="18">
        <v>37323.32</v>
      </c>
      <c r="I239" s="18">
        <v>20607.59</v>
      </c>
      <c r="J239" s="18">
        <v>0</v>
      </c>
      <c r="K239" s="18"/>
      <c r="L239" s="19">
        <f t="shared" si="4"/>
        <v>173200.79</v>
      </c>
      <c r="M239" s="8"/>
      <c r="N239" s="266"/>
    </row>
    <row r="240" spans="1:14" s="3" customFormat="1" ht="12.2" customHeight="1" x14ac:dyDescent="0.15">
      <c r="A240" s="1" t="s">
        <v>444</v>
      </c>
      <c r="B240" s="2" t="s">
        <v>350</v>
      </c>
      <c r="C240" s="2" t="s">
        <v>296</v>
      </c>
      <c r="D240" s="2" t="s">
        <v>431</v>
      </c>
      <c r="E240" s="6">
        <v>2300</v>
      </c>
      <c r="F240" s="18">
        <v>3870.98</v>
      </c>
      <c r="G240" s="18">
        <v>2088.94</v>
      </c>
      <c r="H240" s="18">
        <v>349375.46</v>
      </c>
      <c r="I240" s="18">
        <v>0</v>
      </c>
      <c r="J240" s="18"/>
      <c r="K240" s="18">
        <v>4624.26</v>
      </c>
      <c r="L240" s="19">
        <f t="shared" si="4"/>
        <v>359959.64</v>
      </c>
      <c r="M240" s="8"/>
      <c r="N240" s="266"/>
    </row>
    <row r="241" spans="1:14" s="3" customFormat="1" ht="12.2" customHeight="1" x14ac:dyDescent="0.15">
      <c r="A241" s="1" t="s">
        <v>445</v>
      </c>
      <c r="B241" s="2" t="s">
        <v>350</v>
      </c>
      <c r="C241" s="2" t="s">
        <v>297</v>
      </c>
      <c r="D241" s="2" t="s">
        <v>431</v>
      </c>
      <c r="E241" s="6">
        <v>2400</v>
      </c>
      <c r="F241" s="18">
        <v>732791.72</v>
      </c>
      <c r="G241" s="18">
        <v>395444.85</v>
      </c>
      <c r="H241" s="18">
        <v>49223.35</v>
      </c>
      <c r="I241" s="18">
        <v>7214.29</v>
      </c>
      <c r="J241" s="18">
        <v>0</v>
      </c>
      <c r="K241" s="18">
        <v>17339.32</v>
      </c>
      <c r="L241" s="19">
        <f t="shared" si="4"/>
        <v>1202013.53</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287549.78000000003</v>
      </c>
      <c r="G243" s="18">
        <v>155173.81</v>
      </c>
      <c r="H243" s="18">
        <v>255128.51</v>
      </c>
      <c r="I243" s="18">
        <v>211384.77</v>
      </c>
      <c r="J243" s="18">
        <v>37074.81</v>
      </c>
      <c r="K243" s="18"/>
      <c r="L243" s="19">
        <f t="shared" si="4"/>
        <v>946311.68000000017</v>
      </c>
      <c r="M243" s="8"/>
      <c r="N243" s="266"/>
    </row>
    <row r="244" spans="1:14" s="3" customFormat="1" ht="12.2" customHeight="1" x14ac:dyDescent="0.15">
      <c r="A244" s="1" t="s">
        <v>448</v>
      </c>
      <c r="B244" s="2" t="s">
        <v>350</v>
      </c>
      <c r="C244" s="2" t="s">
        <v>300</v>
      </c>
      <c r="D244" s="2" t="s">
        <v>431</v>
      </c>
      <c r="E244" s="6">
        <v>2700</v>
      </c>
      <c r="F244" s="18"/>
      <c r="G244" s="18"/>
      <c r="H244" s="18">
        <v>227185.16</v>
      </c>
      <c r="I244" s="18"/>
      <c r="J244" s="18"/>
      <c r="K244" s="18"/>
      <c r="L244" s="19">
        <f t="shared" si="4"/>
        <v>227185.16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5767799.0300000012</v>
      </c>
      <c r="G247" s="41">
        <f t="shared" si="5"/>
        <v>3112543.9600000004</v>
      </c>
      <c r="H247" s="41">
        <f t="shared" si="5"/>
        <v>1612634.49</v>
      </c>
      <c r="I247" s="41">
        <f t="shared" si="5"/>
        <v>343162.27999999997</v>
      </c>
      <c r="J247" s="41">
        <f t="shared" si="5"/>
        <v>87906.459999999992</v>
      </c>
      <c r="K247" s="41">
        <f t="shared" si="5"/>
        <v>66719.31</v>
      </c>
      <c r="L247" s="41">
        <f t="shared" si="5"/>
        <v>10990765.529999999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708567.6</v>
      </c>
      <c r="I255" s="18"/>
      <c r="J255" s="18"/>
      <c r="K255" s="18"/>
      <c r="L255" s="19">
        <f t="shared" si="6"/>
        <v>708567.6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708567.6</v>
      </c>
      <c r="I256" s="41">
        <f t="shared" si="7"/>
        <v>0</v>
      </c>
      <c r="J256" s="41">
        <f t="shared" si="7"/>
        <v>0</v>
      </c>
      <c r="K256" s="41">
        <f t="shared" si="7"/>
        <v>0</v>
      </c>
      <c r="L256" s="41">
        <f>SUM(F256:K256)</f>
        <v>708567.6</v>
      </c>
      <c r="M256" s="8"/>
      <c r="N256" s="266"/>
    </row>
    <row r="257" spans="1:14" s="3" customFormat="1" ht="12.2" customHeight="1" thickTop="1" x14ac:dyDescent="0.15">
      <c r="A257" s="38" t="s">
        <v>462</v>
      </c>
      <c r="B257" s="40">
        <v>10</v>
      </c>
      <c r="C257" s="40">
        <v>8</v>
      </c>
      <c r="D257" s="39" t="s">
        <v>431</v>
      </c>
      <c r="E257" s="40"/>
      <c r="F257" s="41">
        <f t="shared" ref="F257:L257" si="8">F211+F229+F247+F256</f>
        <v>11930837.350000001</v>
      </c>
      <c r="G257" s="41">
        <f t="shared" si="8"/>
        <v>6556426.7700000005</v>
      </c>
      <c r="H257" s="41">
        <f t="shared" si="8"/>
        <v>4443256.5399999991</v>
      </c>
      <c r="I257" s="41">
        <f t="shared" si="8"/>
        <v>605463.57999999996</v>
      </c>
      <c r="J257" s="41">
        <f t="shared" si="8"/>
        <v>154743.77999999997</v>
      </c>
      <c r="K257" s="41">
        <f t="shared" si="8"/>
        <v>78661.87</v>
      </c>
      <c r="L257" s="41">
        <f t="shared" si="8"/>
        <v>23769389.890000001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45000</v>
      </c>
      <c r="L260" s="19">
        <f>SUM(F260:K260)</f>
        <v>45000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4050</v>
      </c>
      <c r="L261" s="19">
        <f>SUM(F261:K261)</f>
        <v>4050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11358.32</v>
      </c>
      <c r="L263" s="19">
        <f>SUM(F263:K263)</f>
        <v>11358.32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93013.72</v>
      </c>
      <c r="L268" s="19">
        <f t="shared" si="9"/>
        <v>93013.72</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153422.04</v>
      </c>
      <c r="L270" s="41">
        <f t="shared" si="9"/>
        <v>153422.04</v>
      </c>
      <c r="N270" s="264"/>
    </row>
    <row r="271" spans="1:14" s="3" customFormat="1" ht="12.2" customHeight="1" thickTop="1" x14ac:dyDescent="0.2">
      <c r="A271" s="43" t="s">
        <v>464</v>
      </c>
      <c r="B271" s="40">
        <v>10</v>
      </c>
      <c r="C271" s="40">
        <v>18</v>
      </c>
      <c r="D271" s="39" t="s">
        <v>431</v>
      </c>
      <c r="E271" s="40"/>
      <c r="F271" s="42">
        <f t="shared" ref="F271:L271" si="11">F257+F270</f>
        <v>11930837.350000001</v>
      </c>
      <c r="G271" s="42">
        <f t="shared" si="11"/>
        <v>6556426.7700000005</v>
      </c>
      <c r="H271" s="42">
        <f t="shared" si="11"/>
        <v>4443256.5399999991</v>
      </c>
      <c r="I271" s="42">
        <f t="shared" si="11"/>
        <v>605463.57999999996</v>
      </c>
      <c r="J271" s="42">
        <f t="shared" si="11"/>
        <v>154743.77999999997</v>
      </c>
      <c r="K271" s="42">
        <f t="shared" si="11"/>
        <v>232083.91</v>
      </c>
      <c r="L271" s="42">
        <f t="shared" si="11"/>
        <v>23922811.93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168414.07999999999</v>
      </c>
      <c r="G276" s="18">
        <v>23509.94</v>
      </c>
      <c r="H276" s="18">
        <v>3640</v>
      </c>
      <c r="I276" s="18">
        <v>11374.81</v>
      </c>
      <c r="J276" s="18"/>
      <c r="K276" s="18"/>
      <c r="L276" s="19">
        <f>SUM(F276:K276)</f>
        <v>206938.83</v>
      </c>
      <c r="M276" s="8"/>
      <c r="N276" s="266"/>
    </row>
    <row r="277" spans="1:14" s="3" customFormat="1" ht="12.2" customHeight="1" x14ac:dyDescent="0.15">
      <c r="A277" s="1" t="s">
        <v>439</v>
      </c>
      <c r="B277" s="2" t="s">
        <v>357</v>
      </c>
      <c r="C277" s="2" t="s">
        <v>291</v>
      </c>
      <c r="D277" s="2" t="s">
        <v>431</v>
      </c>
      <c r="E277" s="6">
        <v>1200</v>
      </c>
      <c r="F277" s="18"/>
      <c r="G277" s="18"/>
      <c r="H277" s="18"/>
      <c r="I277" s="18">
        <v>705.08</v>
      </c>
      <c r="J277" s="18"/>
      <c r="K277" s="18"/>
      <c r="L277" s="19">
        <f>SUM(F277:K277)</f>
        <v>705.08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20792.560000000001</v>
      </c>
      <c r="G279" s="18">
        <v>3964.12</v>
      </c>
      <c r="H279" s="18"/>
      <c r="I279" s="18">
        <v>1300.45</v>
      </c>
      <c r="J279" s="18"/>
      <c r="K279" s="18"/>
      <c r="L279" s="19">
        <f>SUM(F279:K279)</f>
        <v>26057.13</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3900</v>
      </c>
      <c r="G282" s="18">
        <v>956.69</v>
      </c>
      <c r="H282" s="18">
        <v>43038.18</v>
      </c>
      <c r="I282" s="18"/>
      <c r="J282" s="18"/>
      <c r="K282" s="18"/>
      <c r="L282" s="19">
        <f t="shared" si="12"/>
        <v>47894.87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7905.9</v>
      </c>
      <c r="L283" s="19">
        <f t="shared" si="12"/>
        <v>7905.9</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7795.32</v>
      </c>
      <c r="I287" s="18">
        <v>972.89</v>
      </c>
      <c r="J287" s="18"/>
      <c r="K287" s="18"/>
      <c r="L287" s="19">
        <f t="shared" si="12"/>
        <v>8768.2099999999991</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193106.63999999998</v>
      </c>
      <c r="G290" s="42">
        <f t="shared" si="13"/>
        <v>28430.749999999996</v>
      </c>
      <c r="H290" s="42">
        <f t="shared" si="13"/>
        <v>54473.5</v>
      </c>
      <c r="I290" s="42">
        <f t="shared" si="13"/>
        <v>14353.23</v>
      </c>
      <c r="J290" s="42">
        <f t="shared" si="13"/>
        <v>0</v>
      </c>
      <c r="K290" s="42">
        <f t="shared" si="13"/>
        <v>7905.9</v>
      </c>
      <c r="L290" s="41">
        <f t="shared" si="13"/>
        <v>298270.02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64348.12</v>
      </c>
      <c r="G314" s="18">
        <v>9698.0499999999993</v>
      </c>
      <c r="H314" s="18"/>
      <c r="I314" s="18">
        <v>754.28</v>
      </c>
      <c r="J314" s="18"/>
      <c r="K314" s="18"/>
      <c r="L314" s="19">
        <f>SUM(F314:K314)</f>
        <v>74800.45</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8236</v>
      </c>
      <c r="G317" s="18">
        <v>1979.42</v>
      </c>
      <c r="H317" s="18">
        <v>0</v>
      </c>
      <c r="I317" s="18">
        <v>0</v>
      </c>
      <c r="J317" s="18">
        <v>0</v>
      </c>
      <c r="K317" s="18"/>
      <c r="L317" s="19">
        <f>SUM(F317:K317)</f>
        <v>10215.42</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1000</v>
      </c>
      <c r="G319" s="18">
        <v>89.05</v>
      </c>
      <c r="H319" s="18"/>
      <c r="I319" s="18"/>
      <c r="J319" s="18"/>
      <c r="K319" s="18"/>
      <c r="L319" s="19">
        <f t="shared" ref="L319:L325" si="16">SUM(F319:K319)</f>
        <v>1089.05</v>
      </c>
      <c r="M319" s="8"/>
      <c r="N319" s="266"/>
    </row>
    <row r="320" spans="1:14" s="3" customFormat="1" ht="12.2" customHeight="1" x14ac:dyDescent="0.15">
      <c r="A320" s="1" t="s">
        <v>443</v>
      </c>
      <c r="B320" s="2" t="s">
        <v>359</v>
      </c>
      <c r="C320" s="2" t="s">
        <v>295</v>
      </c>
      <c r="D320" s="2" t="s">
        <v>431</v>
      </c>
      <c r="E320" s="6">
        <v>2200</v>
      </c>
      <c r="F320" s="18">
        <v>4500</v>
      </c>
      <c r="G320" s="18">
        <v>1154.7</v>
      </c>
      <c r="H320" s="18">
        <v>6428.55</v>
      </c>
      <c r="I320" s="18"/>
      <c r="J320" s="18">
        <v>619.87</v>
      </c>
      <c r="K320" s="18"/>
      <c r="L320" s="19">
        <f t="shared" si="16"/>
        <v>12703.12</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v>475.23</v>
      </c>
      <c r="L321" s="19">
        <f t="shared" si="16"/>
        <v>475.23</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v>644.94000000000005</v>
      </c>
      <c r="L326" s="19">
        <f>SUM(F326:K326)</f>
        <v>644.94000000000005</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78084.12</v>
      </c>
      <c r="G328" s="42">
        <f t="shared" si="17"/>
        <v>12921.22</v>
      </c>
      <c r="H328" s="42">
        <f t="shared" si="17"/>
        <v>6428.55</v>
      </c>
      <c r="I328" s="42">
        <f t="shared" si="17"/>
        <v>754.28</v>
      </c>
      <c r="J328" s="42">
        <f t="shared" si="17"/>
        <v>619.87</v>
      </c>
      <c r="K328" s="42">
        <f t="shared" si="17"/>
        <v>1120.17</v>
      </c>
      <c r="L328" s="41">
        <f t="shared" si="17"/>
        <v>99928.209999999992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271190.76</v>
      </c>
      <c r="G338" s="41">
        <f t="shared" si="20"/>
        <v>41351.969999999994</v>
      </c>
      <c r="H338" s="41">
        <f t="shared" si="20"/>
        <v>60902.05</v>
      </c>
      <c r="I338" s="41">
        <f t="shared" si="20"/>
        <v>15107.51</v>
      </c>
      <c r="J338" s="41">
        <f t="shared" si="20"/>
        <v>619.87</v>
      </c>
      <c r="K338" s="41">
        <f t="shared" si="20"/>
        <v>9026.07</v>
      </c>
      <c r="L338" s="41">
        <f t="shared" si="20"/>
        <v>398198.23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271190.76</v>
      </c>
      <c r="G352" s="41">
        <f>G338</f>
        <v>41351.969999999994</v>
      </c>
      <c r="H352" s="41">
        <f>H338</f>
        <v>60902.05</v>
      </c>
      <c r="I352" s="41">
        <f>I338</f>
        <v>15107.51</v>
      </c>
      <c r="J352" s="41">
        <f>J338</f>
        <v>619.87</v>
      </c>
      <c r="K352" s="47">
        <f>K338+K351</f>
        <v>9026.07</v>
      </c>
      <c r="L352" s="41">
        <f>L338+L351</f>
        <v>398198.23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114108.42</v>
      </c>
      <c r="G358" s="18">
        <v>67272.88</v>
      </c>
      <c r="H358" s="18">
        <f>4966.72+240.96</f>
        <v>5207.68</v>
      </c>
      <c r="I358" s="18">
        <f>7266.47+91887.12</f>
        <v>99153.59</v>
      </c>
      <c r="J358" s="18">
        <v>17138.28</v>
      </c>
      <c r="K358" s="18">
        <v>405</v>
      </c>
      <c r="L358" s="13">
        <f>SUM(F358:K358)</f>
        <v>303285.84999999998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139465.85</v>
      </c>
      <c r="G360" s="18">
        <v>82222.399999999994</v>
      </c>
      <c r="H360" s="18">
        <f>6070.44+294.5</f>
        <v>6364.94</v>
      </c>
      <c r="I360" s="18">
        <f>8881.24+112306.5</f>
        <v>121187.74</v>
      </c>
      <c r="J360" s="18">
        <v>20946.73</v>
      </c>
      <c r="K360" s="18">
        <v>495</v>
      </c>
      <c r="L360" s="19">
        <f>SUM(F360:K360)</f>
        <v>370682.66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253574.27000000002</v>
      </c>
      <c r="G362" s="47">
        <f t="shared" si="22"/>
        <v>149495.28</v>
      </c>
      <c r="H362" s="47">
        <f t="shared" si="22"/>
        <v>11572.619999999999</v>
      </c>
      <c r="I362" s="47">
        <f t="shared" si="22"/>
        <v>220341.33000000002</v>
      </c>
      <c r="J362" s="47">
        <f t="shared" si="22"/>
        <v>38085.009999999995</v>
      </c>
      <c r="K362" s="47">
        <f t="shared" si="22"/>
        <v>900</v>
      </c>
      <c r="L362" s="47">
        <f t="shared" si="22"/>
        <v>673968.51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204193.64</v>
      </c>
      <c r="G367" s="18"/>
      <c r="H367" s="18"/>
      <c r="I367" s="56">
        <f>SUM(F367:H367)</f>
        <v>204193.64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16147.69</v>
      </c>
      <c r="G368" s="63"/>
      <c r="H368" s="63"/>
      <c r="I368" s="56">
        <f>SUM(F368:H368)</f>
        <v>16147.69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220341.33000000002</v>
      </c>
      <c r="G369" s="47">
        <f>SUM(G367:G368)</f>
        <v>0</v>
      </c>
      <c r="H369" s="47">
        <f>SUM(H367:H368)</f>
        <v>0</v>
      </c>
      <c r="I369" s="47">
        <f>SUM(I367:I368)</f>
        <v>220341.33000000002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0</v>
      </c>
      <c r="H389" s="18">
        <v>16.690000000000001</v>
      </c>
      <c r="I389" s="18"/>
      <c r="J389" s="24" t="s">
        <v>288</v>
      </c>
      <c r="K389" s="24" t="s">
        <v>288</v>
      </c>
      <c r="L389" s="56">
        <f t="shared" si="25"/>
        <v>16.690000000000001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0</v>
      </c>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16.690000000000001</v>
      </c>
      <c r="I393" s="65">
        <f>SUM(I387:I392)</f>
        <v>0</v>
      </c>
      <c r="J393" s="45" t="s">
        <v>288</v>
      </c>
      <c r="K393" s="45" t="s">
        <v>288</v>
      </c>
      <c r="L393" s="47">
        <f>SUM(L387:L392)</f>
        <v>16.690000000000001</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7.37</v>
      </c>
      <c r="I396" s="18"/>
      <c r="J396" s="24" t="s">
        <v>288</v>
      </c>
      <c r="K396" s="24" t="s">
        <v>288</v>
      </c>
      <c r="L396" s="56">
        <f t="shared" si="26"/>
        <v>7.37</v>
      </c>
      <c r="M396" s="8"/>
      <c r="N396" s="266"/>
    </row>
    <row r="397" spans="1:14" s="3" customFormat="1" ht="12.2" customHeight="1" x14ac:dyDescent="0.15">
      <c r="A397" s="79" t="s">
        <v>515</v>
      </c>
      <c r="B397" s="2" t="s">
        <v>381</v>
      </c>
      <c r="C397" s="6">
        <v>10</v>
      </c>
      <c r="D397" s="2" t="s">
        <v>432</v>
      </c>
      <c r="E397" s="6"/>
      <c r="F397" s="18"/>
      <c r="G397" s="18"/>
      <c r="H397" s="18">
        <v>36.86</v>
      </c>
      <c r="I397" s="18"/>
      <c r="J397" s="24" t="s">
        <v>288</v>
      </c>
      <c r="K397" s="24" t="s">
        <v>288</v>
      </c>
      <c r="L397" s="56">
        <f t="shared" si="26"/>
        <v>36.86</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4.01</v>
      </c>
      <c r="I399" s="18"/>
      <c r="J399" s="24" t="s">
        <v>288</v>
      </c>
      <c r="K399" s="24" t="s">
        <v>288</v>
      </c>
      <c r="L399" s="56">
        <f t="shared" si="26"/>
        <v>4.01</v>
      </c>
      <c r="M399" s="8"/>
      <c r="N399" s="266"/>
    </row>
    <row r="400" spans="1:14" s="3" customFormat="1" ht="12.2" customHeight="1" thickBot="1" x14ac:dyDescent="0.2">
      <c r="A400" s="79" t="s">
        <v>510</v>
      </c>
      <c r="B400" s="2" t="s">
        <v>381</v>
      </c>
      <c r="C400" s="6">
        <v>13</v>
      </c>
      <c r="D400" s="2" t="s">
        <v>432</v>
      </c>
      <c r="E400" s="6"/>
      <c r="F400" s="18"/>
      <c r="G400" s="18"/>
      <c r="H400" s="18">
        <v>17.149999999999999</v>
      </c>
      <c r="I400" s="18"/>
      <c r="J400" s="24" t="s">
        <v>288</v>
      </c>
      <c r="K400" s="24" t="s">
        <v>288</v>
      </c>
      <c r="L400" s="56">
        <f t="shared" si="26"/>
        <v>17.149999999999999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65.389999999999986</v>
      </c>
      <c r="I401" s="47">
        <f>SUM(I395:I400)</f>
        <v>0</v>
      </c>
      <c r="J401" s="45" t="s">
        <v>288</v>
      </c>
      <c r="K401" s="45" t="s">
        <v>288</v>
      </c>
      <c r="L401" s="47">
        <f>SUM(L395:L400)</f>
        <v>65.389999999999986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82.079999999999984</v>
      </c>
      <c r="I408" s="47">
        <f>I393+I401+I407</f>
        <v>0</v>
      </c>
      <c r="J408" s="24" t="s">
        <v>288</v>
      </c>
      <c r="K408" s="24" t="s">
        <v>288</v>
      </c>
      <c r="L408" s="47">
        <f>L393+L401+L407</f>
        <v>82.079999999999984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v>27812</v>
      </c>
      <c r="L415" s="56">
        <f t="shared" si="27"/>
        <v>27812</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27812</v>
      </c>
      <c r="L419" s="47">
        <f t="shared" si="28"/>
        <v>27812</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3642.28</v>
      </c>
      <c r="L426" s="56">
        <f t="shared" si="29"/>
        <v>3642.28</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3642.28</v>
      </c>
      <c r="L427" s="47">
        <f t="shared" si="30"/>
        <v>3642.28</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31454.28</v>
      </c>
      <c r="L434" s="47">
        <f t="shared" si="32"/>
        <v>31454.28</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141915.64000000001</v>
      </c>
      <c r="G439" s="18">
        <v>642815.79</v>
      </c>
      <c r="H439" s="18"/>
      <c r="I439" s="56">
        <f t="shared" ref="I439:I445" si="33">SUM(F439:H439)</f>
        <v>784731.43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141915.64000000001</v>
      </c>
      <c r="G446" s="13">
        <f>SUM(G439:G445)</f>
        <v>642815.79</v>
      </c>
      <c r="H446" s="13">
        <f>SUM(H439:H445)</f>
        <v>0</v>
      </c>
      <c r="I446" s="13">
        <f>SUM(I439:I445)</f>
        <v>784731.43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141915.64000000001</v>
      </c>
      <c r="G459" s="18">
        <v>642815.79</v>
      </c>
      <c r="H459" s="18"/>
      <c r="I459" s="56">
        <f t="shared" si="34"/>
        <v>784731.43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141915.64000000001</v>
      </c>
      <c r="G460" s="83">
        <f>SUM(G454:G459)</f>
        <v>642815.79</v>
      </c>
      <c r="H460" s="83">
        <f>SUM(H454:H459)</f>
        <v>0</v>
      </c>
      <c r="I460" s="83">
        <f>SUM(I454:I459)</f>
        <v>784731.43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141915.64000000001</v>
      </c>
      <c r="G461" s="42">
        <f>G452+G460</f>
        <v>642815.79</v>
      </c>
      <c r="H461" s="42">
        <f>H452+H460</f>
        <v>0</v>
      </c>
      <c r="I461" s="42">
        <f>I452+I460</f>
        <v>784731.43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1380236.35</v>
      </c>
      <c r="G465" s="18">
        <v>212166.97</v>
      </c>
      <c r="H465" s="18">
        <v>7301.06</v>
      </c>
      <c r="I465" s="18"/>
      <c r="J465" s="18">
        <v>816103.63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23670313.460000001</v>
      </c>
      <c r="G468" s="18">
        <v>616859.79</v>
      </c>
      <c r="H468" s="18">
        <v>398225.34</v>
      </c>
      <c r="I468" s="18"/>
      <c r="J468" s="18">
        <v>82.08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23670313.460000001</v>
      </c>
      <c r="G470" s="53">
        <f>SUM(G468:G469)</f>
        <v>616859.79</v>
      </c>
      <c r="H470" s="53">
        <f>SUM(H468:H469)</f>
        <v>398225.34</v>
      </c>
      <c r="I470" s="53">
        <f>SUM(I468:I469)</f>
        <v>0</v>
      </c>
      <c r="J470" s="53">
        <f>SUM(J468:J469)</f>
        <v>82.08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23922811.93</v>
      </c>
      <c r="G472" s="18">
        <v>673968.51</v>
      </c>
      <c r="H472" s="18">
        <v>398198.23</v>
      </c>
      <c r="I472" s="18"/>
      <c r="J472" s="18">
        <v>31454.28</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23922811.93</v>
      </c>
      <c r="G474" s="53">
        <f>SUM(G472:G473)</f>
        <v>673968.51</v>
      </c>
      <c r="H474" s="53">
        <f>SUM(H472:H473)</f>
        <v>398198.23</v>
      </c>
      <c r="I474" s="53">
        <f>SUM(I472:I473)</f>
        <v>0</v>
      </c>
      <c r="J474" s="53">
        <f>SUM(J472:J473)</f>
        <v>31454.28</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1127737.8800000027</v>
      </c>
      <c r="G476" s="53">
        <f>(G465+G470)- G474</f>
        <v>155058.25</v>
      </c>
      <c r="H476" s="53">
        <f>(H465+H470)- H474</f>
        <v>7328.1700000000419</v>
      </c>
      <c r="I476" s="53">
        <f>(I465+I470)- I474</f>
        <v>0</v>
      </c>
      <c r="J476" s="53">
        <f>(J465+J470)- J474</f>
        <v>784731.42999999993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
        <v>1303274.8700000001</v>
      </c>
      <c r="G521" s="18">
        <f t="shared" ref="G521:K521" si="36">G198</f>
        <v>728265.13</v>
      </c>
      <c r="H521" s="18">
        <f t="shared" si="36"/>
        <v>377875.83</v>
      </c>
      <c r="I521" s="18">
        <f t="shared" si="36"/>
        <v>2154.83</v>
      </c>
      <c r="J521" s="18">
        <f t="shared" si="36"/>
        <v>0</v>
      </c>
      <c r="K521" s="18">
        <f t="shared" si="36"/>
        <v>547.30999999999995</v>
      </c>
      <c r="L521" s="88">
        <f>SUM(F521:K521)</f>
        <v>2412117.9700000002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F234</f>
        <v>873089.43</v>
      </c>
      <c r="G523" s="18">
        <f t="shared" ref="G523:K523" si="37">G234</f>
        <v>471155.33</v>
      </c>
      <c r="H523" s="18">
        <f t="shared" si="37"/>
        <v>288236.96999999997</v>
      </c>
      <c r="I523" s="18">
        <f t="shared" si="37"/>
        <v>9037.7199999999993</v>
      </c>
      <c r="J523" s="18">
        <f t="shared" si="37"/>
        <v>0</v>
      </c>
      <c r="K523" s="18">
        <f t="shared" si="37"/>
        <v>770</v>
      </c>
      <c r="L523" s="88">
        <f>SUM(F523:K523)</f>
        <v>1642289.45</v>
      </c>
      <c r="N523" s="265"/>
    </row>
    <row r="524" spans="1:14" s="52" customFormat="1" ht="12.2" customHeight="1" thickTop="1" x14ac:dyDescent="0.2">
      <c r="A524" s="139" t="s">
        <v>63</v>
      </c>
      <c r="B524" s="107">
        <v>21</v>
      </c>
      <c r="C524" s="195">
        <v>4</v>
      </c>
      <c r="D524" s="196" t="s">
        <v>432</v>
      </c>
      <c r="E524" s="195"/>
      <c r="F524" s="108">
        <f>SUM(F521:F523)</f>
        <v>2176364.3000000003</v>
      </c>
      <c r="G524" s="108">
        <f t="shared" ref="G524:L524" si="38">SUM(G521:G523)</f>
        <v>1199420.46</v>
      </c>
      <c r="H524" s="108">
        <f t="shared" si="38"/>
        <v>666112.80000000005</v>
      </c>
      <c r="I524" s="108">
        <f t="shared" si="38"/>
        <v>11192.55</v>
      </c>
      <c r="J524" s="108">
        <f t="shared" si="38"/>
        <v>0</v>
      </c>
      <c r="K524" s="108">
        <f t="shared" si="38"/>
        <v>1317.31</v>
      </c>
      <c r="L524" s="89">
        <f t="shared" si="38"/>
        <v>4054407.42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H202</f>
        <v>500905.34</v>
      </c>
      <c r="I526" s="18"/>
      <c r="J526" s="18"/>
      <c r="K526" s="18"/>
      <c r="L526" s="88">
        <f>SUM(F526:K526)</f>
        <v>500905.34</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f>H238</f>
        <v>134279.59</v>
      </c>
      <c r="I528" s="18"/>
      <c r="J528" s="18"/>
      <c r="K528" s="18"/>
      <c r="L528" s="88">
        <f>SUM(F528:K528)</f>
        <v>134279.59</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9">SUM(G526:G528)</f>
        <v>0</v>
      </c>
      <c r="H529" s="89">
        <f t="shared" si="39"/>
        <v>635184.93000000005</v>
      </c>
      <c r="I529" s="89">
        <f t="shared" si="39"/>
        <v>0</v>
      </c>
      <c r="J529" s="89">
        <f t="shared" si="39"/>
        <v>0</v>
      </c>
      <c r="K529" s="89">
        <f t="shared" si="39"/>
        <v>0</v>
      </c>
      <c r="L529" s="89">
        <f t="shared" si="39"/>
        <v>635184.93000000005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33353.51</v>
      </c>
      <c r="G531" s="18">
        <v>15385.29</v>
      </c>
      <c r="H531" s="18"/>
      <c r="I531" s="18"/>
      <c r="J531" s="18"/>
      <c r="K531" s="18"/>
      <c r="L531" s="88">
        <f>SUM(F531:K531)</f>
        <v>48738.8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8338.3799999999992</v>
      </c>
      <c r="G533" s="18">
        <v>3846.32</v>
      </c>
      <c r="H533" s="18"/>
      <c r="I533" s="18"/>
      <c r="J533" s="18"/>
      <c r="K533" s="18"/>
      <c r="L533" s="88">
        <f>SUM(F533:K533)</f>
        <v>12184.699999999999</v>
      </c>
      <c r="M533" s="8"/>
      <c r="N533" s="266"/>
    </row>
    <row r="534" spans="1:14" s="3" customFormat="1" ht="12.2" customHeight="1" thickTop="1" x14ac:dyDescent="0.15">
      <c r="A534" s="139" t="s">
        <v>67</v>
      </c>
      <c r="B534" s="107">
        <v>21</v>
      </c>
      <c r="C534" s="107">
        <v>12</v>
      </c>
      <c r="D534" s="158" t="s">
        <v>432</v>
      </c>
      <c r="E534" s="107"/>
      <c r="F534" s="89">
        <f>SUM(F531:F533)</f>
        <v>41691.89</v>
      </c>
      <c r="G534" s="89">
        <f t="shared" ref="G534:L534" si="40">SUM(G531:G533)</f>
        <v>19231.61</v>
      </c>
      <c r="H534" s="89">
        <f t="shared" si="40"/>
        <v>0</v>
      </c>
      <c r="I534" s="89">
        <f t="shared" si="40"/>
        <v>0</v>
      </c>
      <c r="J534" s="89">
        <f t="shared" si="40"/>
        <v>0</v>
      </c>
      <c r="K534" s="89">
        <f t="shared" si="40"/>
        <v>0</v>
      </c>
      <c r="L534" s="89">
        <f t="shared" si="40"/>
        <v>60923.5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1">SUM(G536:G538)</f>
        <v>0</v>
      </c>
      <c r="H539" s="89">
        <f t="shared" si="41"/>
        <v>0</v>
      </c>
      <c r="I539" s="89">
        <f t="shared" si="41"/>
        <v>0</v>
      </c>
      <c r="J539" s="89">
        <f t="shared" si="41"/>
        <v>0</v>
      </c>
      <c r="K539" s="89">
        <f t="shared" si="41"/>
        <v>0</v>
      </c>
      <c r="L539" s="89">
        <f t="shared" si="41"/>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H592</f>
        <v>144135.81</v>
      </c>
      <c r="I541" s="18"/>
      <c r="J541" s="18"/>
      <c r="K541" s="18"/>
      <c r="L541" s="88">
        <f>SUM(F541:K541)</f>
        <v>144135.81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f>J592</f>
        <v>57035.87</v>
      </c>
      <c r="I543" s="18"/>
      <c r="J543" s="18"/>
      <c r="K543" s="18"/>
      <c r="L543" s="88">
        <f>SUM(F543:K543)</f>
        <v>57035.87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2">SUM(G541:G543)</f>
        <v>0</v>
      </c>
      <c r="H544" s="193">
        <f t="shared" si="42"/>
        <v>201171.68</v>
      </c>
      <c r="I544" s="193">
        <f t="shared" si="42"/>
        <v>0</v>
      </c>
      <c r="J544" s="193">
        <f t="shared" si="42"/>
        <v>0</v>
      </c>
      <c r="K544" s="193">
        <f t="shared" si="42"/>
        <v>0</v>
      </c>
      <c r="L544" s="193">
        <f t="shared" si="42"/>
        <v>201171.68</v>
      </c>
      <c r="M544" s="8"/>
      <c r="N544" s="266"/>
    </row>
    <row r="545" spans="1:14" s="3" customFormat="1" ht="12.2" customHeight="1" thickTop="1" x14ac:dyDescent="0.15">
      <c r="A545" s="98" t="s">
        <v>72</v>
      </c>
      <c r="B545" s="107">
        <v>21</v>
      </c>
      <c r="C545" s="107">
        <v>21</v>
      </c>
      <c r="D545" s="158" t="s">
        <v>432</v>
      </c>
      <c r="E545" s="107"/>
      <c r="F545" s="89">
        <f>F524+F529+F534+F539+F544</f>
        <v>2218056.1900000004</v>
      </c>
      <c r="G545" s="89">
        <f t="shared" ref="G545:L545" si="43">G524+G529+G534+G539+G544</f>
        <v>1218652.07</v>
      </c>
      <c r="H545" s="89">
        <f t="shared" si="43"/>
        <v>1502469.41</v>
      </c>
      <c r="I545" s="89">
        <f t="shared" si="43"/>
        <v>11192.55</v>
      </c>
      <c r="J545" s="89">
        <f t="shared" si="43"/>
        <v>0</v>
      </c>
      <c r="K545" s="89">
        <f t="shared" si="43"/>
        <v>1317.31</v>
      </c>
      <c r="L545" s="89">
        <f t="shared" si="43"/>
        <v>4951687.5299999993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2412117.9700000002</v>
      </c>
      <c r="G549" s="87">
        <f>L526</f>
        <v>500905.34</v>
      </c>
      <c r="H549" s="87">
        <f>L531</f>
        <v>48738.8</v>
      </c>
      <c r="I549" s="87">
        <f>L536</f>
        <v>0</v>
      </c>
      <c r="J549" s="87">
        <f>L541</f>
        <v>144135.81</v>
      </c>
      <c r="K549" s="87">
        <f>SUM(F549:J549)</f>
        <v>3105897.92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1642289.45</v>
      </c>
      <c r="G551" s="87">
        <f>L528</f>
        <v>134279.59</v>
      </c>
      <c r="H551" s="87">
        <f>L533</f>
        <v>12184.699999999999</v>
      </c>
      <c r="I551" s="87">
        <f>L538</f>
        <v>0</v>
      </c>
      <c r="J551" s="87">
        <f>L543</f>
        <v>57035.87</v>
      </c>
      <c r="K551" s="87">
        <f>SUM(F551:J551)</f>
        <v>1845789.61</v>
      </c>
      <c r="L551" s="24" t="s">
        <v>288</v>
      </c>
      <c r="M551" s="8"/>
      <c r="N551" s="266"/>
    </row>
    <row r="552" spans="1:14" s="3" customFormat="1" ht="12.2" customHeight="1" thickTop="1" x14ac:dyDescent="0.15">
      <c r="A552" s="172" t="s">
        <v>340</v>
      </c>
      <c r="B552" s="44">
        <v>21</v>
      </c>
      <c r="C552" s="44">
        <v>25</v>
      </c>
      <c r="D552" s="39" t="s">
        <v>432</v>
      </c>
      <c r="E552" s="44"/>
      <c r="F552" s="89">
        <f t="shared" ref="F552:K552" si="44">SUM(F549:F551)</f>
        <v>4054407.42</v>
      </c>
      <c r="G552" s="89">
        <f t="shared" si="44"/>
        <v>635184.93000000005</v>
      </c>
      <c r="H552" s="89">
        <f t="shared" si="44"/>
        <v>60923.5</v>
      </c>
      <c r="I552" s="89">
        <f t="shared" si="44"/>
        <v>0</v>
      </c>
      <c r="J552" s="89">
        <f t="shared" si="44"/>
        <v>201171.68</v>
      </c>
      <c r="K552" s="89">
        <f t="shared" si="44"/>
        <v>4951687.53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5">SUM(F557:F559)</f>
        <v>0</v>
      </c>
      <c r="G560" s="108">
        <f t="shared" si="45"/>
        <v>0</v>
      </c>
      <c r="H560" s="108">
        <f t="shared" si="45"/>
        <v>0</v>
      </c>
      <c r="I560" s="108">
        <f t="shared" si="45"/>
        <v>0</v>
      </c>
      <c r="J560" s="108">
        <f t="shared" si="45"/>
        <v>0</v>
      </c>
      <c r="K560" s="108">
        <f t="shared" si="45"/>
        <v>0</v>
      </c>
      <c r="L560" s="89">
        <f t="shared" si="45"/>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183000</v>
      </c>
      <c r="G562" s="18"/>
      <c r="H562" s="18"/>
      <c r="I562" s="18">
        <v>151.04</v>
      </c>
      <c r="J562" s="18"/>
      <c r="K562" s="18"/>
      <c r="L562" s="88">
        <f>SUM(F562:K562)</f>
        <v>183151.04</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v>2986</v>
      </c>
      <c r="G564" s="18"/>
      <c r="H564" s="18"/>
      <c r="I564" s="18">
        <v>57</v>
      </c>
      <c r="J564" s="18"/>
      <c r="K564" s="18"/>
      <c r="L564" s="88">
        <f>SUM(F564:K564)</f>
        <v>3043</v>
      </c>
      <c r="M564" s="8"/>
      <c r="N564" s="266"/>
    </row>
    <row r="565" spans="1:14" s="3" customFormat="1" ht="12.2" customHeight="1" thickTop="1" x14ac:dyDescent="0.15">
      <c r="A565" s="139" t="s">
        <v>65</v>
      </c>
      <c r="B565" s="107">
        <v>22</v>
      </c>
      <c r="C565" s="107">
        <v>8</v>
      </c>
      <c r="D565" s="196" t="s">
        <v>432</v>
      </c>
      <c r="E565" s="107"/>
      <c r="F565" s="89">
        <f t="shared" ref="F565:L565" si="46">SUM(F562:F564)</f>
        <v>185986</v>
      </c>
      <c r="G565" s="89">
        <f t="shared" si="46"/>
        <v>0</v>
      </c>
      <c r="H565" s="89">
        <f t="shared" si="46"/>
        <v>0</v>
      </c>
      <c r="I565" s="89">
        <f t="shared" si="46"/>
        <v>208.04</v>
      </c>
      <c r="J565" s="89">
        <f t="shared" si="46"/>
        <v>0</v>
      </c>
      <c r="K565" s="89">
        <f t="shared" si="46"/>
        <v>0</v>
      </c>
      <c r="L565" s="89">
        <f t="shared" si="46"/>
        <v>186194.04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7">SUM(G567:G569)</f>
        <v>0</v>
      </c>
      <c r="H570" s="193">
        <f t="shared" si="47"/>
        <v>0</v>
      </c>
      <c r="I570" s="193">
        <f t="shared" si="47"/>
        <v>0</v>
      </c>
      <c r="J570" s="193">
        <f t="shared" si="47"/>
        <v>0</v>
      </c>
      <c r="K570" s="193">
        <f t="shared" si="47"/>
        <v>0</v>
      </c>
      <c r="L570" s="193">
        <f t="shared" si="47"/>
        <v>0</v>
      </c>
      <c r="M570" s="8"/>
      <c r="N570" s="266"/>
    </row>
    <row r="571" spans="1:14" s="3" customFormat="1" ht="12.2" customHeight="1" thickTop="1" x14ac:dyDescent="0.15">
      <c r="A571" s="98" t="s">
        <v>88</v>
      </c>
      <c r="B571" s="107">
        <v>22</v>
      </c>
      <c r="C571" s="107">
        <v>13</v>
      </c>
      <c r="D571" s="158" t="s">
        <v>432</v>
      </c>
      <c r="E571" s="107"/>
      <c r="F571" s="89">
        <f>F560+F565+F570</f>
        <v>185986</v>
      </c>
      <c r="G571" s="89">
        <f t="shared" ref="G571:L571" si="48">G560+G565+G570</f>
        <v>0</v>
      </c>
      <c r="H571" s="89">
        <f t="shared" si="48"/>
        <v>0</v>
      </c>
      <c r="I571" s="89">
        <f t="shared" si="48"/>
        <v>208.04</v>
      </c>
      <c r="J571" s="89">
        <f t="shared" si="48"/>
        <v>0</v>
      </c>
      <c r="K571" s="89">
        <f t="shared" si="48"/>
        <v>0</v>
      </c>
      <c r="L571" s="89">
        <f t="shared" si="48"/>
        <v>186194.04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9">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9"/>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9"/>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374333.88</v>
      </c>
      <c r="G579" s="18">
        <v>0</v>
      </c>
      <c r="H579" s="18">
        <v>184834.66</v>
      </c>
      <c r="I579" s="87">
        <f t="shared" si="49"/>
        <v>559168.54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9"/>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9"/>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9"/>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9"/>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97685.759999999995</v>
      </c>
      <c r="I584" s="87">
        <f t="shared" si="49"/>
        <v>97685.759999999995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9"/>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9"/>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9"/>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352536.49</v>
      </c>
      <c r="I591" s="18"/>
      <c r="J591" s="18">
        <v>0</v>
      </c>
      <c r="K591" s="104">
        <f t="shared" ref="K591:K597" si="50">SUM(H591:J591)</f>
        <v>352536.49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144135.81</v>
      </c>
      <c r="I592" s="18"/>
      <c r="J592" s="18">
        <v>57035.87</v>
      </c>
      <c r="K592" s="104">
        <f t="shared" si="50"/>
        <v>201171.68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99794.29</v>
      </c>
      <c r="K593" s="104">
        <f t="shared" si="50"/>
        <v>99794.29</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5256.16</v>
      </c>
      <c r="I594" s="18"/>
      <c r="J594" s="18">
        <v>66922.75</v>
      </c>
      <c r="K594" s="104">
        <f t="shared" si="50"/>
        <v>72178.91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v>3432.25</v>
      </c>
      <c r="K595" s="104">
        <f t="shared" si="50"/>
        <v>3432.25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50"/>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50"/>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501928.45999999996</v>
      </c>
      <c r="I598" s="108">
        <f>SUM(I591:I597)</f>
        <v>0</v>
      </c>
      <c r="J598" s="108">
        <f>SUM(J591:J597)</f>
        <v>227185.16</v>
      </c>
      <c r="K598" s="108">
        <f>SUM(K591:K597)</f>
        <v>729113.62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J271+J338</f>
        <v>155363.64999999997</v>
      </c>
      <c r="I604" s="18"/>
      <c r="J604" s="18"/>
      <c r="K604" s="104">
        <f>SUM(H604:J604)</f>
        <v>155363.64999999997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155363.64999999997</v>
      </c>
      <c r="I605" s="108">
        <f>SUM(I602:I604)</f>
        <v>0</v>
      </c>
      <c r="J605" s="108">
        <f>SUM(J602:J604)</f>
        <v>0</v>
      </c>
      <c r="K605" s="108">
        <f>SUM(K602:K604)</f>
        <v>155363.64999999997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1">SUM(F611:F613)</f>
        <v>0</v>
      </c>
      <c r="G614" s="108">
        <f t="shared" si="51"/>
        <v>0</v>
      </c>
      <c r="H614" s="108">
        <f t="shared" si="51"/>
        <v>0</v>
      </c>
      <c r="I614" s="108">
        <f t="shared" si="51"/>
        <v>0</v>
      </c>
      <c r="J614" s="108">
        <f t="shared" si="51"/>
        <v>0</v>
      </c>
      <c r="K614" s="108">
        <f t="shared" si="51"/>
        <v>0</v>
      </c>
      <c r="L614" s="89">
        <f t="shared" si="51"/>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1591713.78</v>
      </c>
      <c r="H617" s="109">
        <f>SUM(F52)</f>
        <v>1591713.7799999998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775172.97000000009</v>
      </c>
      <c r="H618" s="109">
        <f>SUM(G52)</f>
        <v>775172.97000000009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39380.86</v>
      </c>
      <c r="H619" s="109">
        <f>SUM(H52)</f>
        <v>39380.86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784731.43</v>
      </c>
      <c r="H621" s="109">
        <f>SUM(J52)</f>
        <v>784731.43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1127737.8799999999</v>
      </c>
      <c r="H622" s="109">
        <f>F476</f>
        <v>1127737.8800000027</v>
      </c>
      <c r="I622" s="121" t="s">
        <v>101</v>
      </c>
      <c r="J622" s="109">
        <f t="shared" ref="J622:J655" si="52">G622-H622</f>
        <v>-2.7939677238464355E-9</v>
      </c>
      <c r="K622" s="109"/>
      <c r="L622" s="109"/>
      <c r="M622" s="8"/>
    </row>
    <row r="623" spans="1:14" s="3" customFormat="1" ht="12.2" customHeight="1" x14ac:dyDescent="0.15">
      <c r="A623" s="97"/>
      <c r="B623" s="105"/>
      <c r="C623" s="119"/>
      <c r="D623" s="119"/>
      <c r="E623" s="119"/>
      <c r="F623" s="119" t="s">
        <v>866</v>
      </c>
      <c r="G623" s="109">
        <f>G51</f>
        <v>155058.25</v>
      </c>
      <c r="H623" s="109">
        <f>G476</f>
        <v>155058.25</v>
      </c>
      <c r="I623" s="121" t="s">
        <v>102</v>
      </c>
      <c r="J623" s="109">
        <f t="shared" si="52"/>
        <v>0</v>
      </c>
      <c r="K623" s="109"/>
      <c r="L623" s="109"/>
      <c r="M623" s="8"/>
    </row>
    <row r="624" spans="1:14" s="3" customFormat="1" ht="12.2" customHeight="1" x14ac:dyDescent="0.15">
      <c r="A624" s="97"/>
      <c r="B624" s="105"/>
      <c r="C624" s="105"/>
      <c r="D624" s="105"/>
      <c r="E624" s="105"/>
      <c r="F624" s="120" t="s">
        <v>867</v>
      </c>
      <c r="G624" s="109">
        <f>H51</f>
        <v>7328.17</v>
      </c>
      <c r="H624" s="109">
        <f>H476</f>
        <v>7328.1700000000419</v>
      </c>
      <c r="I624" s="121" t="s">
        <v>103</v>
      </c>
      <c r="J624" s="109">
        <f t="shared" si="52"/>
        <v>-4.1836756281554699E-11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2"/>
        <v>0</v>
      </c>
      <c r="K625" s="109"/>
      <c r="L625" s="109"/>
      <c r="M625" s="8"/>
    </row>
    <row r="626" spans="1:13" s="3" customFormat="1" ht="12.2" customHeight="1" x14ac:dyDescent="0.15">
      <c r="A626" s="22"/>
      <c r="B626" s="105"/>
      <c r="C626" s="105"/>
      <c r="D626" s="105"/>
      <c r="E626" s="105"/>
      <c r="F626" s="120" t="s">
        <v>869</v>
      </c>
      <c r="G626" s="109">
        <f>J51</f>
        <v>784731.43</v>
      </c>
      <c r="H626" s="109">
        <f>J476</f>
        <v>784731.42999999993</v>
      </c>
      <c r="I626" s="140" t="s">
        <v>105</v>
      </c>
      <c r="J626" s="109">
        <f t="shared" si="52"/>
        <v>0</v>
      </c>
      <c r="K626" s="85"/>
      <c r="L626" s="88"/>
      <c r="M626" s="8"/>
    </row>
    <row r="627" spans="1:13" s="3" customFormat="1" ht="12.2" customHeight="1" x14ac:dyDescent="0.15">
      <c r="A627" s="22"/>
      <c r="B627" s="105"/>
      <c r="C627" s="105"/>
      <c r="D627" s="105"/>
      <c r="E627" s="105"/>
      <c r="F627" s="120" t="s">
        <v>658</v>
      </c>
      <c r="G627" s="109">
        <f>F193</f>
        <v>23670313.459999997</v>
      </c>
      <c r="H627" s="104">
        <f>SUM(F468)</f>
        <v>23670313.460000001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616859.79</v>
      </c>
      <c r="H628" s="104">
        <f>SUM(G468)</f>
        <v>616859.79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398225.33999999997</v>
      </c>
      <c r="H629" s="104">
        <f>SUM(H468)</f>
        <v>398225.34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82.08</v>
      </c>
      <c r="H631" s="104">
        <f>SUM(J468)</f>
        <v>82.08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23922811.93</v>
      </c>
      <c r="H632" s="104">
        <f>SUM(F472)</f>
        <v>23922811.93</v>
      </c>
      <c r="I632" s="140" t="s">
        <v>111</v>
      </c>
      <c r="J632" s="109">
        <f t="shared" si="52"/>
        <v>0</v>
      </c>
      <c r="K632" s="85"/>
      <c r="L632" s="88"/>
      <c r="M632" s="8"/>
    </row>
    <row r="633" spans="1:13" s="3" customFormat="1" ht="12.2" customHeight="1" x14ac:dyDescent="0.15">
      <c r="A633" s="22"/>
      <c r="B633" s="105"/>
      <c r="C633" s="105"/>
      <c r="D633" s="105"/>
      <c r="E633" s="105"/>
      <c r="F633" s="120" t="s">
        <v>395</v>
      </c>
      <c r="G633" s="109">
        <f>SUM(L352)</f>
        <v>398198.23</v>
      </c>
      <c r="H633" s="104">
        <f>SUM(H472)</f>
        <v>398198.23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220341.33000000002</v>
      </c>
      <c r="H634" s="104">
        <f>I369</f>
        <v>220341.33000000002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673968.51</v>
      </c>
      <c r="H635" s="104">
        <f>SUM(G472)</f>
        <v>673968.51</v>
      </c>
      <c r="I635" s="140" t="s">
        <v>114</v>
      </c>
      <c r="J635" s="109">
        <f t="shared" si="52"/>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2"/>
        <v>0</v>
      </c>
      <c r="K636" s="85"/>
      <c r="L636" s="88"/>
      <c r="M636" s="168"/>
    </row>
    <row r="637" spans="1:13" s="3" customFormat="1" ht="12.2" customHeight="1" x14ac:dyDescent="0.15">
      <c r="A637" s="161"/>
      <c r="B637" s="162"/>
      <c r="C637" s="162"/>
      <c r="D637" s="162"/>
      <c r="E637" s="162"/>
      <c r="F637" s="163" t="s">
        <v>477</v>
      </c>
      <c r="G637" s="151">
        <f>SUM(L408)</f>
        <v>82.079999999999984</v>
      </c>
      <c r="H637" s="164">
        <f>SUM(J468)</f>
        <v>82.08</v>
      </c>
      <c r="I637" s="165" t="s">
        <v>110</v>
      </c>
      <c r="J637" s="151">
        <f t="shared" si="52"/>
        <v>0</v>
      </c>
      <c r="K637" s="166"/>
      <c r="L637" s="167"/>
      <c r="M637" s="8"/>
    </row>
    <row r="638" spans="1:13" s="3" customFormat="1" ht="12.2" customHeight="1" x14ac:dyDescent="0.15">
      <c r="A638" s="161"/>
      <c r="B638" s="162"/>
      <c r="C638" s="162"/>
      <c r="D638" s="162"/>
      <c r="E638" s="162"/>
      <c r="F638" s="163" t="s">
        <v>478</v>
      </c>
      <c r="G638" s="151">
        <f>SUM(L434)</f>
        <v>31454.28</v>
      </c>
      <c r="H638" s="164">
        <f>SUM(J472)</f>
        <v>31454.28</v>
      </c>
      <c r="I638" s="165" t="s">
        <v>117</v>
      </c>
      <c r="J638" s="151">
        <f t="shared" si="52"/>
        <v>0</v>
      </c>
      <c r="K638" s="166"/>
      <c r="L638" s="167"/>
      <c r="M638" s="8"/>
    </row>
    <row r="639" spans="1:13" s="3" customFormat="1" ht="12.2" customHeight="1" x14ac:dyDescent="0.15">
      <c r="A639" s="22"/>
      <c r="B639" s="105"/>
      <c r="C639" s="105"/>
      <c r="D639" s="105"/>
      <c r="E639" s="105"/>
      <c r="F639" s="120" t="s">
        <v>118</v>
      </c>
      <c r="G639" s="109">
        <f>SUM(F446)</f>
        <v>141915.64000000001</v>
      </c>
      <c r="H639" s="104">
        <f>SUM(F461)</f>
        <v>141915.64000000001</v>
      </c>
      <c r="I639" s="140" t="s">
        <v>841</v>
      </c>
      <c r="J639" s="109">
        <f t="shared" si="52"/>
        <v>0</v>
      </c>
      <c r="K639" s="85"/>
      <c r="L639" s="88"/>
      <c r="M639" s="8"/>
    </row>
    <row r="640" spans="1:13" s="3" customFormat="1" ht="12.2" customHeight="1" x14ac:dyDescent="0.15">
      <c r="A640" s="22"/>
      <c r="B640" s="105"/>
      <c r="C640" s="105"/>
      <c r="D640" s="105"/>
      <c r="E640" s="105"/>
      <c r="F640" s="120" t="s">
        <v>119</v>
      </c>
      <c r="G640" s="109">
        <f>SUM(G446)</f>
        <v>642815.79</v>
      </c>
      <c r="H640" s="104">
        <f>SUM(G461)</f>
        <v>642815.79</v>
      </c>
      <c r="I640" s="140" t="s">
        <v>842</v>
      </c>
      <c r="J640" s="109">
        <f t="shared" si="52"/>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2"/>
        <v>0</v>
      </c>
      <c r="K641" s="85"/>
      <c r="L641" s="88"/>
      <c r="M641" s="8"/>
    </row>
    <row r="642" spans="1:13" s="3" customFormat="1" ht="12.2" customHeight="1" x14ac:dyDescent="0.15">
      <c r="A642" s="22"/>
      <c r="B642" s="105"/>
      <c r="C642" s="105"/>
      <c r="D642" s="105"/>
      <c r="E642" s="105"/>
      <c r="F642" s="120" t="s">
        <v>121</v>
      </c>
      <c r="G642" s="109">
        <f>SUM(I446)</f>
        <v>784731.43</v>
      </c>
      <c r="H642" s="104">
        <f>SUM(I461)</f>
        <v>784731.43</v>
      </c>
      <c r="I642" s="140" t="s">
        <v>844</v>
      </c>
      <c r="J642" s="109">
        <f t="shared" si="52"/>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2"/>
        <v>0</v>
      </c>
      <c r="K643" s="85"/>
      <c r="L643" s="88"/>
      <c r="M643" s="8"/>
    </row>
    <row r="644" spans="1:13" s="3" customFormat="1" ht="12.2" customHeight="1" x14ac:dyDescent="0.15">
      <c r="A644" s="22"/>
      <c r="B644" s="105"/>
      <c r="C644" s="105"/>
      <c r="D644" s="105"/>
      <c r="E644" s="105"/>
      <c r="F644" s="120" t="s">
        <v>663</v>
      </c>
      <c r="G644" s="109">
        <f>J96</f>
        <v>82.08</v>
      </c>
      <c r="H644" s="104">
        <f>H408</f>
        <v>82.079999999999984</v>
      </c>
      <c r="I644" s="140" t="s">
        <v>480</v>
      </c>
      <c r="J644" s="109">
        <f t="shared" si="52"/>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2"/>
        <v>0</v>
      </c>
      <c r="K645" s="85"/>
      <c r="L645" s="88"/>
      <c r="M645" s="8"/>
    </row>
    <row r="646" spans="1:13" s="3" customFormat="1" ht="12.2" customHeight="1" x14ac:dyDescent="0.15">
      <c r="A646" s="22"/>
      <c r="B646" s="105"/>
      <c r="C646" s="105"/>
      <c r="D646" s="105"/>
      <c r="E646" s="105"/>
      <c r="F646" s="120" t="s">
        <v>662</v>
      </c>
      <c r="G646" s="109">
        <f>J193</f>
        <v>82.08</v>
      </c>
      <c r="H646" s="104">
        <f>L408</f>
        <v>82.079999999999984</v>
      </c>
      <c r="I646" s="140" t="s">
        <v>477</v>
      </c>
      <c r="J646" s="109">
        <f t="shared" si="52"/>
        <v>0</v>
      </c>
      <c r="K646" s="85"/>
      <c r="L646" s="88"/>
      <c r="M646" s="8"/>
    </row>
    <row r="647" spans="1:13" s="3" customFormat="1" ht="12.2" customHeight="1" x14ac:dyDescent="0.15">
      <c r="A647" s="22"/>
      <c r="B647" s="105"/>
      <c r="C647" s="105"/>
      <c r="D647" s="105"/>
      <c r="E647" s="105"/>
      <c r="F647" s="120" t="s">
        <v>51</v>
      </c>
      <c r="G647" s="109">
        <f>K598</f>
        <v>729113.62</v>
      </c>
      <c r="H647" s="104">
        <f>L208+L226+L244</f>
        <v>729113.62</v>
      </c>
      <c r="I647" s="140" t="s">
        <v>396</v>
      </c>
      <c r="J647" s="109">
        <f t="shared" si="52"/>
        <v>0</v>
      </c>
      <c r="K647" s="85"/>
      <c r="L647" s="88"/>
      <c r="M647" s="8"/>
    </row>
    <row r="648" spans="1:13" s="3" customFormat="1" ht="12.2" customHeight="1" x14ac:dyDescent="0.15">
      <c r="A648" s="22"/>
      <c r="B648" s="105"/>
      <c r="C648" s="105"/>
      <c r="D648" s="105"/>
      <c r="E648" s="105"/>
      <c r="F648" s="120" t="s">
        <v>52</v>
      </c>
      <c r="G648" s="109">
        <f>K605</f>
        <v>155363.64999999997</v>
      </c>
      <c r="H648" s="104">
        <f>(J257+J338)-(J255+J336)</f>
        <v>155363.64999999997</v>
      </c>
      <c r="I648" s="140" t="s">
        <v>699</v>
      </c>
      <c r="J648" s="109">
        <f t="shared" si="52"/>
        <v>0</v>
      </c>
      <c r="K648" s="85"/>
      <c r="L648" s="88"/>
      <c r="M648" s="8"/>
    </row>
    <row r="649" spans="1:13" s="3" customFormat="1" ht="12.2" customHeight="1" x14ac:dyDescent="0.15">
      <c r="A649" s="22"/>
      <c r="B649" s="105"/>
      <c r="C649" s="105"/>
      <c r="D649" s="105"/>
      <c r="E649" s="105"/>
      <c r="F649" s="120" t="s">
        <v>387</v>
      </c>
      <c r="G649" s="109">
        <f>L208</f>
        <v>501928.46</v>
      </c>
      <c r="H649" s="104">
        <f>H598</f>
        <v>501928.45999999996</v>
      </c>
      <c r="I649" s="140" t="s">
        <v>388</v>
      </c>
      <c r="J649" s="109">
        <f t="shared" si="52"/>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2"/>
        <v>0</v>
      </c>
      <c r="K650" s="85"/>
      <c r="L650" s="88"/>
      <c r="M650" s="8"/>
    </row>
    <row r="651" spans="1:13" s="3" customFormat="1" ht="12.2" customHeight="1" x14ac:dyDescent="0.15">
      <c r="A651" s="22"/>
      <c r="B651" s="105"/>
      <c r="C651" s="105"/>
      <c r="D651" s="105"/>
      <c r="E651" s="105"/>
      <c r="F651" s="120" t="s">
        <v>393</v>
      </c>
      <c r="G651" s="109">
        <f>L244</f>
        <v>227185.16</v>
      </c>
      <c r="H651" s="104">
        <f>J598</f>
        <v>227185.16</v>
      </c>
      <c r="I651" s="140" t="s">
        <v>390</v>
      </c>
      <c r="J651" s="109">
        <f t="shared" si="52"/>
        <v>0</v>
      </c>
      <c r="K651" s="85"/>
      <c r="L651" s="88"/>
      <c r="M651" s="8"/>
    </row>
    <row r="652" spans="1:13" s="3" customFormat="1" ht="12.2" customHeight="1" x14ac:dyDescent="0.15">
      <c r="A652" s="22"/>
      <c r="B652" s="105"/>
      <c r="C652" s="105"/>
      <c r="D652" s="105"/>
      <c r="E652" s="105"/>
      <c r="F652" s="120" t="s">
        <v>665</v>
      </c>
      <c r="G652" s="109">
        <f>G179</f>
        <v>11358.32</v>
      </c>
      <c r="H652" s="104">
        <f>K263+K345</f>
        <v>11358.32</v>
      </c>
      <c r="I652" s="140" t="s">
        <v>397</v>
      </c>
      <c r="J652" s="109">
        <f t="shared" si="52"/>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2"/>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2"/>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2"/>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12671612.630000001</v>
      </c>
      <c r="G660" s="19">
        <f>(L229+L309+L359)</f>
        <v>0</v>
      </c>
      <c r="H660" s="19">
        <f>(L247+L328+L360)</f>
        <v>11461376.4</v>
      </c>
      <c r="I660" s="19">
        <f>SUM(F660:H660)</f>
        <v>24132989.030000001</v>
      </c>
      <c r="J660" s="13"/>
      <c r="K660" s="13"/>
      <c r="L660" s="13"/>
      <c r="M660" s="9"/>
    </row>
    <row r="661" spans="1:13" s="3" customFormat="1" ht="12.2" customHeight="1" x14ac:dyDescent="0.2">
      <c r="A661" s="1" t="s">
        <v>127</v>
      </c>
      <c r="F661" s="19">
        <f>(L358/IF(SUM(L358:L360)=0,1,SUM(L358:L360))*(SUM(G97:G110)))</f>
        <v>164786.38413840579</v>
      </c>
      <c r="G661" s="19">
        <f>(L359/IF(SUM(L358:L360)=0,1,SUM(L358:L360))*(SUM(G97:G110)))</f>
        <v>0</v>
      </c>
      <c r="H661" s="19">
        <f>(L360/IF(SUM(L358:L360)=0,1,SUM(L358:L360))*(SUM(G97:G110)))</f>
        <v>201405.55586159416</v>
      </c>
      <c r="I661" s="19">
        <f>SUM(F661:H661)</f>
        <v>366191.93999999994</v>
      </c>
      <c r="J661"/>
      <c r="K661" s="13"/>
      <c r="L661" s="13"/>
      <c r="M661" s="9"/>
    </row>
    <row r="662" spans="1:13" s="3" customFormat="1" ht="12.2" customHeight="1" x14ac:dyDescent="0.2">
      <c r="A662" s="1" t="s">
        <v>128</v>
      </c>
      <c r="F662" s="19">
        <f>(L208+L287)-(J208+J287)</f>
        <v>510696.67000000004</v>
      </c>
      <c r="G662" s="19">
        <f>(L226+L306)-(J226+J306)</f>
        <v>0</v>
      </c>
      <c r="H662" s="19">
        <f>(L244+L325)-(J244+J325)</f>
        <v>227185.16</v>
      </c>
      <c r="I662" s="19">
        <f>SUM(F662:H662)</f>
        <v>737881.83000000007</v>
      </c>
      <c r="J662"/>
      <c r="K662" s="13"/>
      <c r="L662" s="13"/>
      <c r="M662" s="8"/>
    </row>
    <row r="663" spans="1:13" s="3" customFormat="1" ht="12.2" customHeight="1" x14ac:dyDescent="0.15">
      <c r="A663" s="198" t="s">
        <v>129</v>
      </c>
      <c r="B663" s="169"/>
      <c r="C663" s="169"/>
      <c r="D663" s="169"/>
      <c r="E663" s="169"/>
      <c r="F663" s="199">
        <f>SUM(F575:F587)+SUM(H602:H604)+SUM(L611)</f>
        <v>529697.53</v>
      </c>
      <c r="G663" s="199">
        <f>SUM(G575:G587)+SUM(I602:I604)+L612</f>
        <v>0</v>
      </c>
      <c r="H663" s="199">
        <f>SUM(H575:H587)+SUM(J602:J604)+L613</f>
        <v>282520.42</v>
      </c>
      <c r="I663" s="19">
        <f>SUM(F663:H663)</f>
        <v>812217.95</v>
      </c>
      <c r="J663" s="13"/>
      <c r="K663" s="13"/>
      <c r="L663" s="13"/>
      <c r="M663" s="9"/>
    </row>
    <row r="664" spans="1:13" s="3" customFormat="1" ht="12.2" customHeight="1" x14ac:dyDescent="0.15">
      <c r="A664" s="1" t="s">
        <v>130</v>
      </c>
      <c r="F664" s="19">
        <f>F660-SUM(F661:F663)</f>
        <v>11466432.045861594</v>
      </c>
      <c r="G664" s="19">
        <f>G660-SUM(G661:G663)</f>
        <v>0</v>
      </c>
      <c r="H664" s="19">
        <f>H660-SUM(H661:H663)</f>
        <v>10750265.264138406</v>
      </c>
      <c r="I664" s="19">
        <f>I660-SUM(I661:I663)</f>
        <v>22216697.310000002</v>
      </c>
      <c r="J664" s="13"/>
      <c r="K664" s="13"/>
      <c r="L664" s="13"/>
      <c r="M664" s="9"/>
    </row>
    <row r="665" spans="1:13" s="3" customFormat="1" ht="12.2" customHeight="1" x14ac:dyDescent="0.2">
      <c r="A665" s="1" t="s">
        <v>131</v>
      </c>
      <c r="F665" s="246">
        <v>671.86</v>
      </c>
      <c r="G665" s="247"/>
      <c r="H665" s="247">
        <v>742.19</v>
      </c>
      <c r="I665" s="19">
        <f>SUM(F665:H665)</f>
        <v>1414.0500000000002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17066.7</v>
      </c>
      <c r="G667" s="19" t="e">
        <f>ROUND(G664/G665,2)</f>
        <v>#DIV/0!</v>
      </c>
      <c r="H667" s="19">
        <f>ROUND(H664/H665,2)</f>
        <v>14484.52</v>
      </c>
      <c r="I667" s="19">
        <f>ROUND(I664/I665,2)</f>
        <v>15711.39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-26.56</v>
      </c>
      <c r="I670" s="19">
        <f>SUM(F670:H670)</f>
        <v>-26.56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17066.7</v>
      </c>
      <c r="G672" s="19" t="e">
        <f>ROUND((G664+G669)/(G665+G670),2)</f>
        <v>#DIV/0!</v>
      </c>
      <c r="H672" s="19">
        <f>ROUND((H664+H669)/(H665+H670),2)</f>
        <v>15022.1</v>
      </c>
      <c r="I672" s="19">
        <f>ROUND((I664+I669)/(I665+I670),2)</f>
        <v>16012.15</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31" sqref="C3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Pembroke SD</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6499616.6100000003</v>
      </c>
      <c r="C9" s="229">
        <f>'DOE25'!G197+'DOE25'!G215+'DOE25'!G233+'DOE25'!G276+'DOE25'!G295+'DOE25'!G314</f>
        <v>3482414.0399999996</v>
      </c>
    </row>
    <row r="10" spans="1:3" x14ac:dyDescent="0.2">
      <c r="A10" t="s">
        <v>775</v>
      </c>
      <c r="B10" s="240">
        <v>6334622.79</v>
      </c>
      <c r="C10" s="240">
        <v>3394012.4</v>
      </c>
    </row>
    <row r="11" spans="1:3" x14ac:dyDescent="0.2">
      <c r="A11" t="s">
        <v>776</v>
      </c>
      <c r="B11" s="240">
        <v>36238.54</v>
      </c>
      <c r="C11" s="240">
        <v>19416.16</v>
      </c>
    </row>
    <row r="12" spans="1:3" x14ac:dyDescent="0.2">
      <c r="A12" t="s">
        <v>777</v>
      </c>
      <c r="B12" s="240">
        <v>128755.28</v>
      </c>
      <c r="C12" s="240">
        <v>68985.48</v>
      </c>
    </row>
    <row r="13" spans="1:3" x14ac:dyDescent="0.2">
      <c r="A13" t="str">
        <f>IF(B9=B13,IF(C9=C13,"Check Total OK","Check Total Error"),"Check Total Error")</f>
        <v>Check Total OK</v>
      </c>
      <c r="B13" s="231">
        <f>SUM(B10:B12)</f>
        <v>6499616.6100000003</v>
      </c>
      <c r="C13" s="231">
        <f>SUM(C10:C12)</f>
        <v>3482414.04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2176364.3000000003</v>
      </c>
      <c r="C18" s="229">
        <f>'DOE25'!G198+'DOE25'!G216+'DOE25'!G234+'DOE25'!G277+'DOE25'!G296+'DOE25'!G315</f>
        <v>1199420.46</v>
      </c>
    </row>
    <row r="19" spans="1:3" x14ac:dyDescent="0.2">
      <c r="A19" t="s">
        <v>775</v>
      </c>
      <c r="B19" s="240">
        <v>1251150.69</v>
      </c>
      <c r="C19" s="240">
        <v>689524.15</v>
      </c>
    </row>
    <row r="20" spans="1:3" x14ac:dyDescent="0.2">
      <c r="A20" t="s">
        <v>776</v>
      </c>
      <c r="B20" s="240">
        <v>825410.89</v>
      </c>
      <c r="C20" s="240">
        <v>454893.84</v>
      </c>
    </row>
    <row r="21" spans="1:3" x14ac:dyDescent="0.2">
      <c r="A21" t="s">
        <v>777</v>
      </c>
      <c r="B21" s="240">
        <v>99802.72</v>
      </c>
      <c r="C21" s="240">
        <v>55002.47</v>
      </c>
    </row>
    <row r="22" spans="1:3" x14ac:dyDescent="0.2">
      <c r="A22" t="str">
        <f>IF(B18=B22,IF(C18=C22,"Check Total OK","Check Total Error"),"Check Total Error")</f>
        <v>Check Total OK</v>
      </c>
      <c r="B22" s="231">
        <f>SUM(B19:B21)</f>
        <v>2176364.3000000003</v>
      </c>
      <c r="C22" s="231">
        <f>SUM(C19:C21)</f>
        <v>1199420.46</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403213.5</v>
      </c>
      <c r="C27" s="234">
        <f>'DOE25'!G199+'DOE25'!G217+'DOE25'!G235+'DOE25'!G278+'DOE25'!G297+'DOE25'!G316</f>
        <v>217590.75</v>
      </c>
    </row>
    <row r="28" spans="1:3" x14ac:dyDescent="0.2">
      <c r="A28" t="s">
        <v>775</v>
      </c>
      <c r="B28" s="240">
        <v>373331</v>
      </c>
      <c r="C28" s="240">
        <v>201464.91</v>
      </c>
    </row>
    <row r="29" spans="1:3" x14ac:dyDescent="0.2">
      <c r="A29" t="s">
        <v>776</v>
      </c>
      <c r="B29" s="240">
        <v>0</v>
      </c>
      <c r="C29" s="240"/>
    </row>
    <row r="30" spans="1:3" x14ac:dyDescent="0.2">
      <c r="A30" t="s">
        <v>777</v>
      </c>
      <c r="B30" s="240">
        <v>29882.5</v>
      </c>
      <c r="C30" s="240">
        <v>16125.84</v>
      </c>
    </row>
    <row r="31" spans="1:3" x14ac:dyDescent="0.2">
      <c r="A31" t="str">
        <f>IF(B27=B31,IF(C27=C31,"Check Total OK","Check Total Error"),"Check Total Error")</f>
        <v>Check Total OK</v>
      </c>
      <c r="B31" s="231">
        <f>SUM(B28:B30)</f>
        <v>403213.5</v>
      </c>
      <c r="C31" s="231">
        <f>SUM(C28:C30)</f>
        <v>217590.75</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319376.53999999998</v>
      </c>
      <c r="C36" s="235">
        <f>'DOE25'!G200+'DOE25'!G218+'DOE25'!G236+'DOE25'!G279+'DOE25'!G298+'DOE25'!G317</f>
        <v>163474.70000000001</v>
      </c>
    </row>
    <row r="37" spans="1:3" x14ac:dyDescent="0.2">
      <c r="A37" t="s">
        <v>775</v>
      </c>
      <c r="B37" s="240">
        <v>242876.54</v>
      </c>
      <c r="C37" s="240">
        <v>124317.74</v>
      </c>
    </row>
    <row r="38" spans="1:3" x14ac:dyDescent="0.2">
      <c r="A38" t="s">
        <v>776</v>
      </c>
      <c r="B38" s="240"/>
      <c r="C38" s="240"/>
    </row>
    <row r="39" spans="1:3" x14ac:dyDescent="0.2">
      <c r="A39" t="s">
        <v>777</v>
      </c>
      <c r="B39" s="240">
        <v>76500</v>
      </c>
      <c r="C39" s="240">
        <v>39156.959999999999</v>
      </c>
    </row>
    <row r="40" spans="1:3" x14ac:dyDescent="0.2">
      <c r="A40" t="str">
        <f>IF(B36=B40,IF(C36=C40,"Check Total OK","Check Total Error"),"Check Total Error")</f>
        <v>Check Total OK</v>
      </c>
      <c r="B40" s="231">
        <f>SUM(B37:B39)</f>
        <v>319376.54000000004</v>
      </c>
      <c r="C40" s="231">
        <f>SUM(C37:C39)</f>
        <v>163474.70000000001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2" activePane="bottomLeft" state="frozen"/>
      <selection activeCell="F46" sqref="F46"/>
      <selection pane="bottomLeft" sqref="A1:I53"/>
    </sheetView>
  </sheetViews>
  <sheetFormatPr defaultRowHeight="11.25" x14ac:dyDescent="0.2"/>
  <cols>
    <col min="1" max="1" width="10.83203125" customWidth="1"/>
    <col min="2" max="2" width="41.1640625" customWidth="1"/>
    <col min="3" max="3" width="16.6640625"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Pembroke SD</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15534296.949999999</v>
      </c>
      <c r="D5" s="20">
        <f>SUM('DOE25'!L197:L200)+SUM('DOE25'!L215:L218)+SUM('DOE25'!L233:L236)-F5-G5-H5</f>
        <v>15378037.43</v>
      </c>
      <c r="E5" s="243"/>
      <c r="F5" s="244">
        <v>7196.72</v>
      </c>
      <c r="G5" s="53">
        <f>SUM('DOE25'!J197:J200)+SUM('DOE25'!J215:J218)+SUM('DOE25'!J233:J236)</f>
        <v>103179.76</v>
      </c>
      <c r="H5" s="53">
        <f>SUM('DOE25'!K197:K200)+SUM('DOE25'!K215:K218)+SUM('DOE25'!K233:K236)</f>
        <v>45883.040000000001</v>
      </c>
      <c r="I5" s="256"/>
    </row>
    <row r="6" spans="1:9" x14ac:dyDescent="0.2">
      <c r="A6" s="32">
        <v>2100</v>
      </c>
      <c r="B6" t="s">
        <v>796</v>
      </c>
      <c r="C6" s="276">
        <f t="shared" si="0"/>
        <v>1768614.9</v>
      </c>
      <c r="D6" s="20">
        <f>'DOE25'!L202+'DOE25'!L220+'DOE25'!L238-F6-G6-H6</f>
        <v>1676056.0599999998</v>
      </c>
      <c r="E6" s="243"/>
      <c r="F6" s="244">
        <v>92563.85</v>
      </c>
      <c r="G6" s="53">
        <f>'DOE25'!J202+'DOE25'!J220+'DOE25'!J238</f>
        <v>-5.01</v>
      </c>
      <c r="H6" s="53">
        <f>'DOE25'!K202+'DOE25'!K220+'DOE25'!K238</f>
        <v>0</v>
      </c>
      <c r="I6" s="256"/>
    </row>
    <row r="7" spans="1:9" x14ac:dyDescent="0.2">
      <c r="A7" s="32">
        <v>2200</v>
      </c>
      <c r="B7" t="s">
        <v>821</v>
      </c>
      <c r="C7" s="276">
        <f t="shared" si="0"/>
        <v>411016.38</v>
      </c>
      <c r="D7" s="20">
        <f>'DOE25'!L203+'DOE25'!L221+'DOE25'!L239-F7-G7-H7</f>
        <v>398196.52</v>
      </c>
      <c r="E7" s="243"/>
      <c r="F7" s="244"/>
      <c r="G7" s="53">
        <f>'DOE25'!J203+'DOE25'!J221+'DOE25'!J239</f>
        <v>12819.86</v>
      </c>
      <c r="H7" s="53">
        <f>'DOE25'!K203+'DOE25'!K221+'DOE25'!K239</f>
        <v>0</v>
      </c>
      <c r="I7" s="256"/>
    </row>
    <row r="8" spans="1:9" x14ac:dyDescent="0.2">
      <c r="A8" s="32">
        <v>2300</v>
      </c>
      <c r="B8" t="s">
        <v>797</v>
      </c>
      <c r="C8" s="276">
        <f t="shared" si="0"/>
        <v>572594.21</v>
      </c>
      <c r="D8" s="243"/>
      <c r="E8" s="20">
        <f>'DOE25'!L204+'DOE25'!L222+'DOE25'!L240-F8-G8-H8-D9-D11</f>
        <v>558704.69999999995</v>
      </c>
      <c r="F8" s="244"/>
      <c r="G8" s="53">
        <f>'DOE25'!J204+'DOE25'!J222+'DOE25'!J240</f>
        <v>0</v>
      </c>
      <c r="H8" s="53">
        <f>'DOE25'!K204+'DOE25'!K222+'DOE25'!K240</f>
        <v>13889.51</v>
      </c>
      <c r="I8" s="256"/>
    </row>
    <row r="9" spans="1:9" ht="14.25" x14ac:dyDescent="0.2">
      <c r="A9" s="32">
        <v>2310</v>
      </c>
      <c r="B9" s="185" t="s">
        <v>890</v>
      </c>
      <c r="C9" s="276">
        <f t="shared" si="0"/>
        <v>17790</v>
      </c>
      <c r="D9" s="244">
        <v>17790</v>
      </c>
      <c r="E9" s="243"/>
      <c r="F9" s="253"/>
      <c r="G9" s="253"/>
      <c r="H9" s="253"/>
      <c r="I9" s="256"/>
    </row>
    <row r="10" spans="1:9" ht="14.25" x14ac:dyDescent="0.2">
      <c r="A10" s="32">
        <v>2317</v>
      </c>
      <c r="B10" s="185" t="s">
        <v>891</v>
      </c>
      <c r="C10" s="276">
        <f t="shared" si="0"/>
        <v>7769</v>
      </c>
      <c r="D10" s="243"/>
      <c r="E10" s="244">
        <v>7769</v>
      </c>
      <c r="F10" s="253"/>
      <c r="G10" s="253"/>
      <c r="H10" s="253"/>
      <c r="I10" s="256"/>
    </row>
    <row r="11" spans="1:9" ht="14.25" x14ac:dyDescent="0.2">
      <c r="A11" s="32">
        <v>2321</v>
      </c>
      <c r="B11" s="185" t="s">
        <v>892</v>
      </c>
      <c r="C11" s="276">
        <f t="shared" si="0"/>
        <v>144206</v>
      </c>
      <c r="D11" s="244">
        <v>144206</v>
      </c>
      <c r="E11" s="243"/>
      <c r="F11" s="253"/>
      <c r="G11" s="253"/>
      <c r="H11" s="253"/>
      <c r="I11" s="256"/>
    </row>
    <row r="12" spans="1:9" x14ac:dyDescent="0.2">
      <c r="A12" s="32">
        <v>2400</v>
      </c>
      <c r="B12" t="s">
        <v>711</v>
      </c>
      <c r="C12" s="276">
        <f t="shared" si="0"/>
        <v>2076544.16</v>
      </c>
      <c r="D12" s="20">
        <f>'DOE25'!L205+'DOE25'!L223+'DOE25'!L241-F12-G12-H12</f>
        <v>2057654.8399999999</v>
      </c>
      <c r="E12" s="243"/>
      <c r="F12" s="244"/>
      <c r="G12" s="53">
        <f>'DOE25'!J205+'DOE25'!J223+'DOE25'!J241</f>
        <v>0</v>
      </c>
      <c r="H12" s="53">
        <f>'DOE25'!K205+'DOE25'!K223+'DOE25'!K241</f>
        <v>18889.32</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1806646.0700000003</v>
      </c>
      <c r="D14" s="20">
        <f>'DOE25'!L207+'DOE25'!L225+'DOE25'!L243-F14-G14-H14</f>
        <v>1719850.9000000004</v>
      </c>
      <c r="E14" s="243"/>
      <c r="F14" s="244">
        <v>48046</v>
      </c>
      <c r="G14" s="53">
        <f>'DOE25'!J207+'DOE25'!J225+'DOE25'!J243</f>
        <v>38749.17</v>
      </c>
      <c r="H14" s="53">
        <f>'DOE25'!K207+'DOE25'!K225+'DOE25'!K243</f>
        <v>0</v>
      </c>
      <c r="I14" s="256"/>
    </row>
    <row r="15" spans="1:9" x14ac:dyDescent="0.2">
      <c r="A15" s="32">
        <v>2700</v>
      </c>
      <c r="B15" t="s">
        <v>799</v>
      </c>
      <c r="C15" s="276">
        <f t="shared" si="0"/>
        <v>729113.62</v>
      </c>
      <c r="D15" s="20">
        <f>'DOE25'!L208+'DOE25'!L226+'DOE25'!L244-F15-G15-H15</f>
        <v>232458.49</v>
      </c>
      <c r="E15" s="243"/>
      <c r="F15" s="244">
        <v>496655.13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708567.6</v>
      </c>
      <c r="D22" s="243"/>
      <c r="E22" s="243"/>
      <c r="F22" s="243"/>
      <c r="G22" s="53">
        <f>'DOE25'!L255+'DOE25'!L336</f>
        <v>708567.6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49050</v>
      </c>
      <c r="D25" s="243"/>
      <c r="E25" s="243"/>
      <c r="F25" s="255"/>
      <c r="G25" s="253"/>
      <c r="H25" s="253"/>
      <c r="I25" s="254">
        <f>'DOE25'!L260+'DOE25'!L261+'DOE25'!L341+'DOE25'!L342</f>
        <v>49050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469774.87</v>
      </c>
      <c r="D29" s="284">
        <f>'DOE25'!L358+'DOE25'!L359+'DOE25'!L360-'DOE25'!I367-F29-G29-H29</f>
        <v>430789.86</v>
      </c>
      <c r="E29" s="243"/>
      <c r="F29" s="244"/>
      <c r="G29" s="53">
        <f>'DOE25'!J358+'DOE25'!J359+'DOE25'!J360</f>
        <v>38085.009999999995</v>
      </c>
      <c r="H29" s="53">
        <f>'DOE25'!K358+'DOE25'!K359+'DOE25'!K360</f>
        <v>900</v>
      </c>
      <c r="I29" s="256"/>
    </row>
    <row r="30" spans="1:9" x14ac:dyDescent="0.2">
      <c r="A30" s="32"/>
      <c r="C30" s="277"/>
      <c r="D30" s="20"/>
      <c r="E30" s="281"/>
      <c r="F30" s="271"/>
      <c r="G30" s="53"/>
      <c r="H30" s="53"/>
      <c r="I30" s="256"/>
    </row>
    <row r="31" spans="1:9" x14ac:dyDescent="0.2">
      <c r="A31" s="32" t="s">
        <v>818</v>
      </c>
      <c r="B31" t="s">
        <v>817</v>
      </c>
      <c r="C31" s="276">
        <f>SUM(D31:I31)</f>
        <v>398198.23</v>
      </c>
      <c r="D31" s="20">
        <f>'DOE25'!L290+'DOE25'!L309+'DOE25'!L328+'DOE25'!L333+'DOE25'!L334+'DOE25'!L335-F31-G31-H31</f>
        <v>388552.29</v>
      </c>
      <c r="E31" s="243"/>
      <c r="F31" s="244"/>
      <c r="G31" s="53">
        <f>'DOE25'!J290+'DOE25'!J309+'DOE25'!J328+'DOE25'!J333+'DOE25'!J334+'DOE25'!J335</f>
        <v>619.87</v>
      </c>
      <c r="H31" s="53">
        <f>'DOE25'!K290+'DOE25'!K309+'DOE25'!K328+'DOE25'!K333+'DOE25'!K334+'DOE25'!K335</f>
        <v>9026.07</v>
      </c>
      <c r="I31" s="256"/>
    </row>
    <row r="32" spans="1:9" ht="12" thickBot="1" x14ac:dyDescent="0.25">
      <c r="C32" s="277"/>
      <c r="G32" s="251"/>
      <c r="H32" s="251"/>
      <c r="I32" s="258"/>
    </row>
    <row r="33" spans="1:9" ht="12" thickTop="1" x14ac:dyDescent="0.2">
      <c r="B33" t="s">
        <v>809</v>
      </c>
      <c r="D33" s="245">
        <f t="shared" ref="D33:I33" si="1">SUM(D5:D31)</f>
        <v>22443592.389999997</v>
      </c>
      <c r="E33" s="245">
        <f t="shared" si="1"/>
        <v>566473.69999999995</v>
      </c>
      <c r="F33" s="245">
        <f t="shared" si="1"/>
        <v>644461.69999999995</v>
      </c>
      <c r="G33" s="245">
        <f t="shared" si="1"/>
        <v>902016.26</v>
      </c>
      <c r="H33" s="245">
        <f t="shared" si="1"/>
        <v>88587.94</v>
      </c>
      <c r="I33" s="245">
        <f t="shared" si="1"/>
        <v>49050</v>
      </c>
    </row>
    <row r="35" spans="1:9" ht="12" thickBot="1" x14ac:dyDescent="0.25">
      <c r="B35" s="251" t="s">
        <v>831</v>
      </c>
      <c r="D35" s="252">
        <f>E33</f>
        <v>566473.69999999995</v>
      </c>
      <c r="E35" s="248"/>
    </row>
    <row r="36" spans="1:9" ht="12" thickTop="1" x14ac:dyDescent="0.2">
      <c r="B36" t="s">
        <v>810</v>
      </c>
      <c r="D36" s="20">
        <f>D33</f>
        <v>22443592.389999997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Jygz8KhOvrUI+fVbGvHjmSwPJn2JXCDIqTjrLe1rrFm+o6B0FhXIuhIkr2U7R9FQMtkhvTkCTxeVQ2zqg4JSEw==" saltValue="36x8LOOxOZfKJJWtfg2skg==" spinCount="100000" sheet="1" objects="1" scenarios="1"/>
  <mergeCells count="3">
    <mergeCell ref="F2:H2"/>
    <mergeCell ref="A1:H1"/>
    <mergeCell ref="B53:H53"/>
  </mergeCells>
  <phoneticPr fontId="0" type="noConversion"/>
  <pageMargins left="0.5" right="0.5" top="0.5" bottom="0.5" header="0.5" footer="0.5"/>
  <pageSetup scale="9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13" sqref="E13"/>
    </sheetView>
  </sheetViews>
  <sheetFormatPr defaultRowHeight="11.25" x14ac:dyDescent="0.2"/>
  <cols>
    <col min="1" max="1" width="35.6640625" customWidth="1"/>
    <col min="2" max="2" width="22.33203125" customWidth="1"/>
    <col min="3" max="3" width="22" customWidth="1"/>
    <col min="4" max="5" width="14.6640625" customWidth="1"/>
    <col min="6" max="6" width="13.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Pembroke SD</v>
      </c>
      <c r="B2" s="126">
        <f>'DOE25'!B2</f>
        <v>427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12368326.779999999</v>
      </c>
      <c r="G4" s="303">
        <f>'DOE25'!L211+'DOE25'!L290</f>
        <v>12368326.780000001</v>
      </c>
      <c r="H4" s="304">
        <f>F4-G4</f>
        <v>0</v>
      </c>
      <c r="I4" s="310" t="str">
        <f>IF(H4=0,"","Does not match DOE25 page 7 and 11 Totals!!")</f>
        <v/>
      </c>
      <c r="N4"/>
    </row>
    <row r="5" spans="1:18" x14ac:dyDescent="0.2">
      <c r="A5" s="21" t="s">
        <v>1370</v>
      </c>
      <c r="B5" s="305">
        <f>IFERROR(VLOOKUP(A5,'School Tables'!$C$3:$D$368,2,FALSE),"")</f>
        <v>22615</v>
      </c>
      <c r="C5" s="297" t="str">
        <f>IFERROR(INDEX('School Tables'!$B$3:$B$368,MATCH('School Level Expenditures'!B5,'School Tables'!$D$3:$D$368,0)),"")</f>
        <v>Pembroke</v>
      </c>
      <c r="D5" s="294">
        <v>3691323.81</v>
      </c>
      <c r="E5" s="294">
        <v>100635.49</v>
      </c>
      <c r="F5" s="313">
        <f>D5+E5</f>
        <v>3791959.3000000003</v>
      </c>
      <c r="G5" s="297"/>
      <c r="H5" s="297"/>
      <c r="I5" s="126"/>
      <c r="N5"/>
    </row>
    <row r="6" spans="1:18" x14ac:dyDescent="0.2">
      <c r="A6" s="21" t="s">
        <v>1372</v>
      </c>
      <c r="B6" s="305">
        <f>IFERROR(VLOOKUP(A6,'School Tables'!$C$3:$D$368,2,FALSE),"")</f>
        <v>22625</v>
      </c>
      <c r="C6" s="297" t="str">
        <f>IFERROR(INDEX('School Tables'!$B$3:$B$368,MATCH('School Level Expenditures'!B6,'School Tables'!$D$3:$D$368,0)),"")</f>
        <v>Pembroke</v>
      </c>
      <c r="D6" s="294">
        <v>2768534.11</v>
      </c>
      <c r="E6" s="294">
        <v>104101.51</v>
      </c>
      <c r="F6" s="308">
        <f t="shared" ref="F6:F20" si="0">D6+E6</f>
        <v>2872635.6199999996</v>
      </c>
      <c r="G6" s="297"/>
      <c r="H6" s="297"/>
      <c r="I6" s="126"/>
      <c r="N6"/>
    </row>
    <row r="7" spans="1:18" x14ac:dyDescent="0.2">
      <c r="A7" s="21" t="s">
        <v>1373</v>
      </c>
      <c r="B7" s="305">
        <f>IFERROR(VLOOKUP(A7,'School Tables'!$C$3:$D$368,2,FALSE),"")</f>
        <v>26925</v>
      </c>
      <c r="C7" s="297" t="str">
        <f>IFERROR(INDEX('School Tables'!$B$3:$B$368,MATCH('School Level Expenditures'!B7,'School Tables'!$D$3:$D$368,0)),"")</f>
        <v>Pembroke</v>
      </c>
      <c r="D7" s="294">
        <v>5610198.8399999999</v>
      </c>
      <c r="E7" s="294">
        <v>93533.02</v>
      </c>
      <c r="F7" s="308">
        <f t="shared" si="0"/>
        <v>5703731.8599999994</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11090693.74</v>
      </c>
      <c r="G36" s="303">
        <f>'DOE25'!L247+'DOE25'!L328</f>
        <v>11090693.74</v>
      </c>
      <c r="H36" s="304">
        <f>F36-G36</f>
        <v>0</v>
      </c>
      <c r="I36" s="310" t="str">
        <f>IF(H36=0,"","Does not match DOE25 page 9 and 13 Totals!!")</f>
        <v/>
      </c>
      <c r="N36"/>
    </row>
    <row r="37" spans="1:14" x14ac:dyDescent="0.2">
      <c r="A37" s="21" t="s">
        <v>1371</v>
      </c>
      <c r="B37" s="305">
        <f>IFERROR(VLOOKUP(A37,'School Tables'!$O$3:$P$122,2,FALSE),"")</f>
        <v>22620</v>
      </c>
      <c r="C37" s="297" t="str">
        <f t="array" ref="C37">IFERROR(INDEX('School Tables'!$N$3:$N$122,MATCH('School Level Expenditures'!B37,'School Tables'!$P$3:$P$122,0)),"")</f>
        <v>Pembroke</v>
      </c>
      <c r="D37" s="294">
        <v>10990765.529999999</v>
      </c>
      <c r="E37" s="294">
        <f>'DOE25'!L328</f>
        <v>99928.209999999992</v>
      </c>
      <c r="F37" s="308">
        <f>D37+E37</f>
        <v>11090693.74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pfm7ZQMyg/hu8z1tA+LsrQg+wmXyv9n8QvXC9IgpQl7cSBH5IONHGgCDmHdwxiO6g/kkE7EdM/4IWVhiqSX1FA==" saltValue="Mv3waG/NLB2Lw1aWzDBEAg=="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Pembroke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346639.78</v>
      </c>
      <c r="D8" s="95">
        <f>'DOE25'!G9</f>
        <v>726625.8</v>
      </c>
      <c r="E8" s="95">
        <f>'DOE25'!H9</f>
        <v>0</v>
      </c>
      <c r="F8" s="95">
        <f>'DOE25'!I9</f>
        <v>0</v>
      </c>
      <c r="G8" s="95">
        <f>'DOE25'!J9</f>
        <v>784731.43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638746.47</v>
      </c>
      <c r="D12" s="95">
        <f>'DOE25'!G13</f>
        <v>0</v>
      </c>
      <c r="E12" s="95">
        <f>'DOE25'!H13</f>
        <v>39380.86</v>
      </c>
      <c r="F12" s="95">
        <f>'DOE25'!I13</f>
        <v>0</v>
      </c>
      <c r="G12" s="95">
        <f>'DOE25'!J13</f>
        <v>0</v>
      </c>
      <c r="H12" s="124"/>
      <c r="I12" s="124"/>
    </row>
    <row r="13" spans="1:9" x14ac:dyDescent="0.2">
      <c r="A13" s="1" t="s">
        <v>144</v>
      </c>
      <c r="B13" s="6">
        <v>150</v>
      </c>
      <c r="C13" s="95">
        <f>'DOE25'!F14</f>
        <v>606327.53</v>
      </c>
      <c r="D13" s="95">
        <f>'DOE25'!G14</f>
        <v>9676.0300000000007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38871.14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1591713.78</v>
      </c>
      <c r="D18" s="41">
        <f>SUM(D8:D17)</f>
        <v>775172.97000000009</v>
      </c>
      <c r="E18" s="41">
        <f>SUM(E8:E17)</f>
        <v>39380.86</v>
      </c>
      <c r="F18" s="41">
        <f>SUM(F8:F17)</f>
        <v>0</v>
      </c>
      <c r="G18" s="41">
        <f>SUM(G8:G17)</f>
        <v>784731.43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608316.68000000005</v>
      </c>
      <c r="E21" s="95">
        <f>'DOE25'!H22</f>
        <v>30429.79</v>
      </c>
      <c r="F21" s="95">
        <f>'DOE25'!I22</f>
        <v>0</v>
      </c>
      <c r="G21" s="95">
        <f>'DOE25'!J22</f>
        <v>0</v>
      </c>
      <c r="H21" s="124"/>
      <c r="I21" s="124"/>
    </row>
    <row r="22" spans="1:9" x14ac:dyDescent="0.2">
      <c r="A22" s="1" t="s">
        <v>151</v>
      </c>
      <c r="B22" s="6">
        <v>410</v>
      </c>
      <c r="C22" s="95">
        <f>'DOE25'!F23</f>
        <v>391068.93</v>
      </c>
      <c r="D22" s="95">
        <f>'DOE25'!G23</f>
        <v>11798.04</v>
      </c>
      <c r="E22" s="95">
        <f>'DOE25'!H23</f>
        <v>1622.9</v>
      </c>
      <c r="F22" s="95">
        <f>'DOE25'!I23</f>
        <v>0</v>
      </c>
      <c r="G22" s="95">
        <f>'DOE25'!J23</f>
        <v>0</v>
      </c>
      <c r="H22" s="124"/>
      <c r="I22" s="124"/>
    </row>
    <row r="23" spans="1:9" x14ac:dyDescent="0.2">
      <c r="A23" s="1" t="s">
        <v>152</v>
      </c>
      <c r="B23" s="6">
        <v>420</v>
      </c>
      <c r="C23" s="95">
        <f>'DOE25'!F24</f>
        <v>47572.12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25334.85</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463975.89999999997</v>
      </c>
      <c r="D31" s="41">
        <f>SUM(D21:D30)</f>
        <v>620114.72000000009</v>
      </c>
      <c r="E31" s="41">
        <f>SUM(E21:E30)</f>
        <v>32052.690000000002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111000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155058.25</v>
      </c>
      <c r="E47" s="95">
        <f>'DOE25'!H48</f>
        <v>7328.17</v>
      </c>
      <c r="F47" s="95">
        <f>'DOE25'!I48</f>
        <v>0</v>
      </c>
      <c r="G47" s="95">
        <f>'DOE25'!J48</f>
        <v>784731.43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1016737.88</v>
      </c>
      <c r="D49" s="24" t="s">
        <v>288</v>
      </c>
      <c r="E49" s="24" t="s">
        <v>288</v>
      </c>
      <c r="F49" s="24" t="s">
        <v>288</v>
      </c>
      <c r="G49" s="24" t="s">
        <v>288</v>
      </c>
      <c r="H49" s="124"/>
      <c r="I49" s="124"/>
    </row>
    <row r="50" spans="1:9" ht="12.75" thickTop="1" thickBot="1" x14ac:dyDescent="0.25">
      <c r="A50" s="38" t="s">
        <v>884</v>
      </c>
      <c r="B50" s="48"/>
      <c r="C50" s="41">
        <f>SUM(C34:C49)</f>
        <v>1127737.8799999999</v>
      </c>
      <c r="D50" s="41">
        <f>SUM(D34:D49)</f>
        <v>155058.25</v>
      </c>
      <c r="E50" s="41">
        <f>SUM(E34:E49)</f>
        <v>7328.17</v>
      </c>
      <c r="F50" s="41">
        <f>SUM(F34:F49)</f>
        <v>0</v>
      </c>
      <c r="G50" s="41">
        <f>SUM(G34:G49)</f>
        <v>784731.43</v>
      </c>
      <c r="H50" s="124"/>
      <c r="I50" s="124"/>
    </row>
    <row r="51" spans="1:9" ht="12" thickTop="1" x14ac:dyDescent="0.2">
      <c r="A51" s="38" t="s">
        <v>885</v>
      </c>
      <c r="B51" s="2"/>
      <c r="C51" s="41">
        <f>C50+C31</f>
        <v>1591713.7799999998</v>
      </c>
      <c r="D51" s="41">
        <f>D50+D31</f>
        <v>775172.97000000009</v>
      </c>
      <c r="E51" s="41">
        <f>E50+E31</f>
        <v>39380.86</v>
      </c>
      <c r="F51" s="41">
        <f>F50+F31</f>
        <v>0</v>
      </c>
      <c r="G51" s="41">
        <f>G50+G31</f>
        <v>784731.43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9596405</v>
      </c>
      <c r="D56" s="95">
        <f>'DOE25'!G60</f>
        <v>0</v>
      </c>
      <c r="E56" s="95">
        <f>'DOE25'!H60</f>
        <v>0</v>
      </c>
      <c r="F56" s="95">
        <f>'DOE25'!I60</f>
        <v>0</v>
      </c>
      <c r="G56" s="95">
        <f>'DOE25'!J60</f>
        <v>0</v>
      </c>
      <c r="H56"/>
      <c r="I56"/>
    </row>
    <row r="57" spans="1:9" x14ac:dyDescent="0.2">
      <c r="A57" s="1" t="s">
        <v>164</v>
      </c>
      <c r="B57" s="6" t="s">
        <v>165</v>
      </c>
      <c r="C57" s="95">
        <f>'DOE25'!F79</f>
        <v>6420779.9100000001</v>
      </c>
      <c r="D57" s="24" t="s">
        <v>288</v>
      </c>
      <c r="E57" s="95">
        <f>'DOE25'!H79</f>
        <v>0</v>
      </c>
      <c r="F57" s="24" t="s">
        <v>288</v>
      </c>
      <c r="G57" s="24" t="s">
        <v>288</v>
      </c>
      <c r="H57"/>
      <c r="I57"/>
    </row>
    <row r="58" spans="1:9" x14ac:dyDescent="0.2">
      <c r="A58" s="1" t="s">
        <v>166</v>
      </c>
      <c r="B58" s="6" t="s">
        <v>167</v>
      </c>
      <c r="C58" s="95">
        <f>'DOE25'!F94</f>
        <v>7938.89</v>
      </c>
      <c r="D58" s="24" t="s">
        <v>288</v>
      </c>
      <c r="E58" s="95">
        <f>'DOE25'!H94</f>
        <v>0</v>
      </c>
      <c r="F58" s="24" t="s">
        <v>288</v>
      </c>
      <c r="G58" s="24" t="s">
        <v>288</v>
      </c>
      <c r="H58"/>
      <c r="I58"/>
    </row>
    <row r="59" spans="1:9" x14ac:dyDescent="0.2">
      <c r="A59" s="69" t="s">
        <v>168</v>
      </c>
      <c r="B59" s="37" t="s">
        <v>169</v>
      </c>
      <c r="C59" s="95">
        <f>'DOE25'!F96</f>
        <v>13181.57</v>
      </c>
      <c r="D59" s="95">
        <f>'DOE25'!G96</f>
        <v>378.02</v>
      </c>
      <c r="E59" s="95">
        <f>'DOE25'!H96</f>
        <v>0</v>
      </c>
      <c r="F59" s="95">
        <f>'DOE25'!I96</f>
        <v>0</v>
      </c>
      <c r="G59" s="95">
        <f>'DOE25'!J96</f>
        <v>82.08</v>
      </c>
      <c r="H59"/>
      <c r="I59"/>
    </row>
    <row r="60" spans="1:9" x14ac:dyDescent="0.2">
      <c r="A60" s="1" t="s">
        <v>170</v>
      </c>
      <c r="B60" s="118" t="s">
        <v>171</v>
      </c>
      <c r="C60" s="24" t="s">
        <v>288</v>
      </c>
      <c r="D60" s="95">
        <f>'DOE25'!G97</f>
        <v>350832.23</v>
      </c>
      <c r="E60" s="24" t="s">
        <v>288</v>
      </c>
      <c r="F60" s="24" t="s">
        <v>288</v>
      </c>
      <c r="G60" s="24" t="s">
        <v>288</v>
      </c>
      <c r="H60"/>
      <c r="I60"/>
    </row>
    <row r="61" spans="1:9" ht="12" thickBot="1" x14ac:dyDescent="0.25">
      <c r="A61" s="1" t="s">
        <v>172</v>
      </c>
      <c r="B61" s="118" t="s">
        <v>173</v>
      </c>
      <c r="C61" s="95">
        <f>SUM('DOE25'!F98:F110)</f>
        <v>200791.78999999998</v>
      </c>
      <c r="D61" s="95">
        <f>SUM('DOE25'!G98:G110)</f>
        <v>15359.71</v>
      </c>
      <c r="E61" s="95">
        <f>SUM('DOE25'!H98:H110)</f>
        <v>1000</v>
      </c>
      <c r="F61" s="95">
        <f>SUM('DOE25'!I98:I110)</f>
        <v>0</v>
      </c>
      <c r="G61" s="95">
        <f>SUM('DOE25'!J98:J110)</f>
        <v>0</v>
      </c>
      <c r="H61"/>
      <c r="I61"/>
    </row>
    <row r="62" spans="1:9" ht="12.75" thickTop="1" thickBot="1" x14ac:dyDescent="0.25">
      <c r="A62" s="29" t="s">
        <v>174</v>
      </c>
      <c r="B62" s="6"/>
      <c r="C62" s="130">
        <f>SUM(C57:C61)</f>
        <v>6642692.1600000001</v>
      </c>
      <c r="D62" s="130">
        <f>SUM(D57:D61)</f>
        <v>366569.96</v>
      </c>
      <c r="E62" s="130">
        <f>SUM(E57:E61)</f>
        <v>1000</v>
      </c>
      <c r="F62" s="130">
        <f>SUM(F57:F61)</f>
        <v>0</v>
      </c>
      <c r="G62" s="130">
        <f>SUM(G57:G61)</f>
        <v>82.08</v>
      </c>
      <c r="H62"/>
      <c r="I62"/>
    </row>
    <row r="63" spans="1:9" ht="12" thickTop="1" x14ac:dyDescent="0.2">
      <c r="A63" s="29" t="s">
        <v>175</v>
      </c>
      <c r="B63" s="6"/>
      <c r="C63" s="22">
        <f>C56+C62</f>
        <v>16239097.16</v>
      </c>
      <c r="D63" s="22">
        <f>D56+D62</f>
        <v>366569.96</v>
      </c>
      <c r="E63" s="22">
        <f>E56+E62</f>
        <v>1000</v>
      </c>
      <c r="F63" s="22">
        <f>F56+F62</f>
        <v>0</v>
      </c>
      <c r="G63" s="22">
        <f>G56+G62</f>
        <v>82.08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5026147.21</v>
      </c>
      <c r="D66" s="24" t="s">
        <v>288</v>
      </c>
      <c r="E66" s="24" t="s">
        <v>288</v>
      </c>
      <c r="F66" s="24" t="s">
        <v>288</v>
      </c>
      <c r="G66" s="24" t="s">
        <v>288</v>
      </c>
      <c r="H66"/>
      <c r="I66"/>
    </row>
    <row r="67" spans="1:9" x14ac:dyDescent="0.2">
      <c r="A67" s="1" t="s">
        <v>770</v>
      </c>
      <c r="B67" s="6">
        <v>3112</v>
      </c>
      <c r="C67" s="95">
        <f>'DOE25'!F118</f>
        <v>1413491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10824.03</v>
      </c>
      <c r="D69" s="95">
        <f>'DOE25'!G120</f>
        <v>0</v>
      </c>
      <c r="E69" s="95">
        <f>'DOE25'!H120</f>
        <v>0</v>
      </c>
      <c r="F69" s="95">
        <f>'DOE25'!I120</f>
        <v>0</v>
      </c>
      <c r="G69" s="95">
        <f>'DOE25'!J120</f>
        <v>0</v>
      </c>
      <c r="H69"/>
      <c r="I69"/>
    </row>
    <row r="70" spans="1:9" ht="12" thickTop="1" x14ac:dyDescent="0.2">
      <c r="A70" s="29" t="s">
        <v>252</v>
      </c>
      <c r="B70" s="2"/>
      <c r="C70" s="139">
        <f>SUM(C66:C69)</f>
        <v>6450462.2400000002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219937.03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79071.63</v>
      </c>
      <c r="D74" s="24"/>
      <c r="E74" s="24"/>
      <c r="F74" s="24"/>
      <c r="G74" s="24"/>
      <c r="H74"/>
      <c r="I74"/>
    </row>
    <row r="75" spans="1:9" x14ac:dyDescent="0.2">
      <c r="A75" s="1" t="s">
        <v>256</v>
      </c>
      <c r="B75" s="6">
        <v>3230</v>
      </c>
      <c r="C75" s="95">
        <f>'DOE25'!F126</f>
        <v>24090.67</v>
      </c>
      <c r="D75" s="24" t="s">
        <v>288</v>
      </c>
      <c r="E75" s="24" t="s">
        <v>288</v>
      </c>
      <c r="F75" s="24" t="s">
        <v>288</v>
      </c>
      <c r="G75" s="24" t="s">
        <v>288</v>
      </c>
      <c r="H75"/>
      <c r="I75"/>
    </row>
    <row r="76" spans="1:9" x14ac:dyDescent="0.2">
      <c r="A76" s="1" t="s">
        <v>257</v>
      </c>
      <c r="B76" s="6" t="s">
        <v>179</v>
      </c>
      <c r="C76" s="95">
        <f>SUM('DOE25'!F127:F130)</f>
        <v>12547.2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935.34</v>
      </c>
      <c r="E77" s="95">
        <f>SUM('DOE25'!H131:H135)</f>
        <v>0</v>
      </c>
      <c r="F77" s="95">
        <f>SUM('DOE25'!I131:I135)</f>
        <v>0</v>
      </c>
      <c r="G77" s="95">
        <f>SUM('DOE25'!J131:J135)</f>
        <v>0</v>
      </c>
      <c r="H77"/>
      <c r="I77"/>
    </row>
    <row r="78" spans="1:9" ht="12.75" thickTop="1" thickBot="1" x14ac:dyDescent="0.25">
      <c r="A78" s="29" t="s">
        <v>259</v>
      </c>
      <c r="B78" s="6"/>
      <c r="C78" s="130">
        <f>SUM(C72:C77)</f>
        <v>335646.53</v>
      </c>
      <c r="D78" s="130">
        <f>SUM(D72:D77)</f>
        <v>935.34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6786108.7700000005</v>
      </c>
      <c r="D81" s="130">
        <f>SUM(D79:D80)+D78+D70</f>
        <v>935.34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610010.97</v>
      </c>
      <c r="D88" s="95">
        <f>SUM('DOE25'!G153:G161)</f>
        <v>237996.17</v>
      </c>
      <c r="E88" s="95">
        <f>SUM('DOE25'!H153:H161)</f>
        <v>397225.33999999997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610010.97</v>
      </c>
      <c r="D91" s="131">
        <f>SUM(D85:D90)</f>
        <v>237996.17</v>
      </c>
      <c r="E91" s="131">
        <f>SUM(E85:E90)</f>
        <v>397225.33999999997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11358.32</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27812</v>
      </c>
      <c r="D99" s="95">
        <f>'DOE25'!G185</f>
        <v>0</v>
      </c>
      <c r="E99" s="95">
        <f>'DOE25'!H185</f>
        <v>0</v>
      </c>
      <c r="F99" s="95">
        <f>'DOE25'!I185</f>
        <v>0</v>
      </c>
      <c r="G99" s="24" t="s">
        <v>288</v>
      </c>
    </row>
    <row r="100" spans="1:7" x14ac:dyDescent="0.2">
      <c r="A100" t="s">
        <v>757</v>
      </c>
      <c r="B100" s="32" t="s">
        <v>190</v>
      </c>
      <c r="C100" s="95">
        <f>SUM('DOE25'!F186:F187)</f>
        <v>7284.56</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35096.559999999998</v>
      </c>
      <c r="D103" s="86">
        <f>SUM(D93:D102)</f>
        <v>11358.32</v>
      </c>
      <c r="E103" s="86">
        <f>SUM(E93:E102)</f>
        <v>0</v>
      </c>
      <c r="F103" s="86">
        <f>SUM(F93:F102)</f>
        <v>0</v>
      </c>
      <c r="G103" s="86">
        <f>SUM(G93:G102)</f>
        <v>0</v>
      </c>
    </row>
    <row r="104" spans="1:7" ht="12.75" thickTop="1" thickBot="1" x14ac:dyDescent="0.25">
      <c r="A104" s="33" t="s">
        <v>761</v>
      </c>
      <c r="C104" s="86">
        <f>C63+C81+C91+C103</f>
        <v>23670313.459999997</v>
      </c>
      <c r="D104" s="86">
        <f>D63+D81+D91+D103</f>
        <v>616859.79</v>
      </c>
      <c r="E104" s="86">
        <f>E63+E81+E91+E103</f>
        <v>398225.33999999997</v>
      </c>
      <c r="F104" s="86">
        <f>F63+F81+F91+F103</f>
        <v>0</v>
      </c>
      <c r="G104" s="86">
        <f>G63+G81+G103</f>
        <v>82.08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10117519.779999999</v>
      </c>
      <c r="D109" s="24" t="s">
        <v>288</v>
      </c>
      <c r="E109" s="95">
        <f>('DOE25'!L276)+('DOE25'!L295)+('DOE25'!L314)</f>
        <v>281739.27999999997</v>
      </c>
      <c r="F109" s="24" t="s">
        <v>288</v>
      </c>
      <c r="G109" s="24" t="s">
        <v>288</v>
      </c>
    </row>
    <row r="110" spans="1:7" x14ac:dyDescent="0.2">
      <c r="A110" t="s">
        <v>198</v>
      </c>
      <c r="B110" s="32" t="s">
        <v>199</v>
      </c>
      <c r="C110" s="95">
        <f>('DOE25'!L198)+('DOE25'!L216)+('DOE25'!L234)</f>
        <v>4054407.42</v>
      </c>
      <c r="D110" s="24" t="s">
        <v>288</v>
      </c>
      <c r="E110" s="95">
        <f>('DOE25'!L277)+('DOE25'!L296)+('DOE25'!L315)</f>
        <v>705.08</v>
      </c>
      <c r="F110" s="24" t="s">
        <v>288</v>
      </c>
      <c r="G110" s="24" t="s">
        <v>288</v>
      </c>
    </row>
    <row r="111" spans="1:7" x14ac:dyDescent="0.2">
      <c r="A111" t="s">
        <v>200</v>
      </c>
      <c r="B111" s="32" t="s">
        <v>165</v>
      </c>
      <c r="C111" s="95">
        <f>('DOE25'!L199)+('DOE25'!L217)+('DOE25'!L235)</f>
        <v>778463.41999999993</v>
      </c>
      <c r="D111" s="24" t="s">
        <v>288</v>
      </c>
      <c r="E111" s="95">
        <f>('DOE25'!L278)+('DOE25'!L297)+('DOE25'!L316)</f>
        <v>0</v>
      </c>
      <c r="F111" s="24" t="s">
        <v>288</v>
      </c>
      <c r="G111" s="24" t="s">
        <v>288</v>
      </c>
    </row>
    <row r="112" spans="1:7" x14ac:dyDescent="0.2">
      <c r="A112" t="s">
        <v>201</v>
      </c>
      <c r="B112" s="32" t="s">
        <v>167</v>
      </c>
      <c r="C112" s="95">
        <f>('DOE25'!L200)+('DOE25'!L218)+('DOE25'!L236)</f>
        <v>583906.32999999996</v>
      </c>
      <c r="D112" s="24" t="s">
        <v>288</v>
      </c>
      <c r="E112" s="95">
        <f>+('DOE25'!L279)+('DOE25'!L298)+('DOE25'!L317)</f>
        <v>36272.550000000003</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15534296.949999999</v>
      </c>
      <c r="D115" s="86">
        <f>SUM(D109:D114)</f>
        <v>0</v>
      </c>
      <c r="E115" s="86">
        <f>SUM(E109:E114)</f>
        <v>318716.90999999997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1768614.9</v>
      </c>
      <c r="D118" s="24" t="s">
        <v>288</v>
      </c>
      <c r="E118" s="95">
        <f>+('DOE25'!L281)+('DOE25'!L300)+('DOE25'!L319)</f>
        <v>1089.05</v>
      </c>
      <c r="F118" s="24" t="s">
        <v>288</v>
      </c>
      <c r="G118" s="24" t="s">
        <v>288</v>
      </c>
    </row>
    <row r="119" spans="1:7" x14ac:dyDescent="0.2">
      <c r="A119" t="s">
        <v>208</v>
      </c>
      <c r="B119" s="32" t="s">
        <v>209</v>
      </c>
      <c r="C119" s="95">
        <f>('DOE25'!L203)+('DOE25'!L221)+('DOE25'!L239)</f>
        <v>411016.38</v>
      </c>
      <c r="D119" s="24" t="s">
        <v>288</v>
      </c>
      <c r="E119" s="95">
        <f>+('DOE25'!L282)+('DOE25'!L301)+('DOE25'!L320)</f>
        <v>60597.990000000005</v>
      </c>
      <c r="F119" s="24" t="s">
        <v>288</v>
      </c>
      <c r="G119" s="24" t="s">
        <v>288</v>
      </c>
    </row>
    <row r="120" spans="1:7" x14ac:dyDescent="0.2">
      <c r="A120" t="s">
        <v>210</v>
      </c>
      <c r="B120" s="32" t="s">
        <v>211</v>
      </c>
      <c r="C120" s="95">
        <f>('DOE25'!L204)+('DOE25'!L222)+('DOE25'!L240)</f>
        <v>734590.21</v>
      </c>
      <c r="D120" s="24" t="s">
        <v>288</v>
      </c>
      <c r="E120" s="95">
        <f>+('DOE25'!L283)+('DOE25'!L302)+('DOE25'!L321)</f>
        <v>8381.1299999999992</v>
      </c>
      <c r="F120" s="24" t="s">
        <v>288</v>
      </c>
      <c r="G120" s="24" t="s">
        <v>288</v>
      </c>
    </row>
    <row r="121" spans="1:7" x14ac:dyDescent="0.2">
      <c r="A121" t="s">
        <v>212</v>
      </c>
      <c r="B121" s="32" t="s">
        <v>213</v>
      </c>
      <c r="C121" s="95">
        <f>('DOE25'!L205)+('DOE25'!L223)+('DOE25'!L241)</f>
        <v>2076544.16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1806646.0700000003</v>
      </c>
      <c r="D123" s="24" t="s">
        <v>288</v>
      </c>
      <c r="E123" s="95">
        <f>+('DOE25'!L286)+('DOE25'!L305)+('DOE25'!L324)</f>
        <v>0</v>
      </c>
      <c r="F123" s="24" t="s">
        <v>288</v>
      </c>
      <c r="G123" s="24" t="s">
        <v>288</v>
      </c>
    </row>
    <row r="124" spans="1:7" x14ac:dyDescent="0.2">
      <c r="A124" t="s">
        <v>218</v>
      </c>
      <c r="B124" s="32" t="s">
        <v>219</v>
      </c>
      <c r="C124" s="95">
        <f>('DOE25'!L208)+('DOE25'!L226)+('DOE25'!L244+'DOE25'!L254)</f>
        <v>729113.62</v>
      </c>
      <c r="D124" s="24" t="s">
        <v>288</v>
      </c>
      <c r="E124" s="95">
        <f>+('DOE25'!L287)+('DOE25'!L306)+('DOE25'!L325)</f>
        <v>8768.2099999999991</v>
      </c>
      <c r="F124" s="24" t="s">
        <v>288</v>
      </c>
      <c r="G124" s="24" t="s">
        <v>288</v>
      </c>
    </row>
    <row r="125" spans="1:7" x14ac:dyDescent="0.2">
      <c r="A125" t="s">
        <v>220</v>
      </c>
      <c r="B125" s="32" t="s">
        <v>221</v>
      </c>
      <c r="C125" s="95">
        <f>('DOE25'!L209)+('DOE25'!L227)+('DOE25'!L245)</f>
        <v>0</v>
      </c>
      <c r="D125" s="24" t="s">
        <v>288</v>
      </c>
      <c r="E125" s="95">
        <f>+('DOE25'!L288)+('DOE25'!L307)+('DOE25'!L326)</f>
        <v>644.94000000000005</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673968.51</v>
      </c>
      <c r="E127" s="24" t="s">
        <v>288</v>
      </c>
      <c r="F127" s="24" t="s">
        <v>288</v>
      </c>
      <c r="G127" s="24" t="s">
        <v>288</v>
      </c>
    </row>
    <row r="128" spans="1:7" ht="12.75" thickTop="1" thickBot="1" x14ac:dyDescent="0.25">
      <c r="A128" s="33" t="s">
        <v>226</v>
      </c>
      <c r="C128" s="86">
        <f>SUM(C118:C127)</f>
        <v>7526525.3399999999</v>
      </c>
      <c r="D128" s="86">
        <f>SUM(D118:D127)</f>
        <v>673968.51</v>
      </c>
      <c r="E128" s="86">
        <f>SUM(E118:E127)</f>
        <v>79481.320000000007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708567.6</v>
      </c>
      <c r="D130" s="24" t="s">
        <v>288</v>
      </c>
      <c r="E130" s="129">
        <f>'DOE25'!L336</f>
        <v>0</v>
      </c>
      <c r="F130" s="129">
        <f>SUM('DOE25'!L374:'DOE25'!L380)</f>
        <v>0</v>
      </c>
      <c r="G130" s="24" t="s">
        <v>288</v>
      </c>
    </row>
    <row r="131" spans="1:7" x14ac:dyDescent="0.2">
      <c r="A131" t="s">
        <v>229</v>
      </c>
      <c r="B131" s="32">
        <v>5110</v>
      </c>
      <c r="C131" s="95">
        <f>'DOE25'!L260</f>
        <v>45000</v>
      </c>
      <c r="D131" s="24" t="s">
        <v>288</v>
      </c>
      <c r="E131" s="129">
        <f>'DOE25'!L341</f>
        <v>0</v>
      </c>
      <c r="F131" s="24" t="s">
        <v>288</v>
      </c>
      <c r="G131" s="24" t="s">
        <v>288</v>
      </c>
    </row>
    <row r="132" spans="1:7" x14ac:dyDescent="0.2">
      <c r="A132" t="s">
        <v>230</v>
      </c>
      <c r="B132" s="32">
        <v>5120</v>
      </c>
      <c r="C132" s="95">
        <f>'DOE25'!L261</f>
        <v>4050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31454.28</v>
      </c>
    </row>
    <row r="135" spans="1:7" x14ac:dyDescent="0.2">
      <c r="A135" t="s">
        <v>233</v>
      </c>
      <c r="B135" s="32" t="s">
        <v>234</v>
      </c>
      <c r="C135" s="95">
        <f>'DOE25'!L263</f>
        <v>11358.32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16.690000000000001</v>
      </c>
      <c r="D138" s="24" t="s">
        <v>288</v>
      </c>
      <c r="E138" s="24" t="s">
        <v>288</v>
      </c>
      <c r="F138" s="24" t="s">
        <v>288</v>
      </c>
      <c r="G138" s="24" t="s">
        <v>288</v>
      </c>
    </row>
    <row r="139" spans="1:7" x14ac:dyDescent="0.2">
      <c r="A139" t="s">
        <v>239</v>
      </c>
      <c r="B139" s="32">
        <v>5252</v>
      </c>
      <c r="C139" s="95">
        <f>'DOE25'!L401</f>
        <v>65.389999999999986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-82.079999999999984</v>
      </c>
      <c r="D141" s="24" t="s">
        <v>288</v>
      </c>
      <c r="E141" s="24" t="s">
        <v>288</v>
      </c>
      <c r="F141" s="24" t="s">
        <v>288</v>
      </c>
      <c r="G141" s="24" t="s">
        <v>288</v>
      </c>
    </row>
    <row r="142" spans="1:7" x14ac:dyDescent="0.2">
      <c r="A142" t="s">
        <v>241</v>
      </c>
      <c r="B142" s="32">
        <v>5310</v>
      </c>
      <c r="C142" s="129">
        <f>'DOE25'!L268</f>
        <v>93013.72</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861989.6399999999</v>
      </c>
      <c r="D144" s="141">
        <f>SUM(D130:D143)</f>
        <v>0</v>
      </c>
      <c r="E144" s="141">
        <f>SUM(E130:E143)</f>
        <v>0</v>
      </c>
      <c r="F144" s="141">
        <f>SUM(F130:F143)</f>
        <v>0</v>
      </c>
      <c r="G144" s="141">
        <f>SUM(G130:G143)</f>
        <v>31454.28</v>
      </c>
    </row>
    <row r="145" spans="1:9" ht="12.75" thickTop="1" thickBot="1" x14ac:dyDescent="0.25">
      <c r="A145" s="33" t="s">
        <v>244</v>
      </c>
      <c r="C145" s="86">
        <f>(C115+C128+C144)</f>
        <v>23922811.93</v>
      </c>
      <c r="D145" s="86">
        <f>(D115+D128+D144)</f>
        <v>673968.51</v>
      </c>
      <c r="E145" s="86">
        <f>(E115+E128+E144)</f>
        <v>398198.23</v>
      </c>
      <c r="F145" s="86">
        <f>(F115+F128+F144)</f>
        <v>0</v>
      </c>
      <c r="G145" s="86">
        <f>(G115+G128+G144)</f>
        <v>31454.28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Pembroke SD</v>
      </c>
    </row>
    <row r="3" spans="1:4" x14ac:dyDescent="0.2">
      <c r="B3" s="188" t="s">
        <v>1602</v>
      </c>
    </row>
    <row r="4" spans="1:4" x14ac:dyDescent="0.2">
      <c r="B4" t="s">
        <v>61</v>
      </c>
      <c r="C4" s="179">
        <f>IF('DOE25'!F665+'DOE25'!F670=0,0,ROUND('DOE25'!F672,0))</f>
        <v>17067</v>
      </c>
    </row>
    <row r="5" spans="1:4" x14ac:dyDescent="0.2">
      <c r="B5" t="s">
        <v>700</v>
      </c>
      <c r="C5" s="179">
        <f>IF('DOE25'!G665+'DOE25'!G670=0,0,ROUND('DOE25'!G672,0))</f>
        <v>0</v>
      </c>
    </row>
    <row r="6" spans="1:4" x14ac:dyDescent="0.2">
      <c r="B6" t="s">
        <v>62</v>
      </c>
      <c r="C6" s="179">
        <f>IF('DOE25'!H665+'DOE25'!H670=0,0,ROUND('DOE25'!H672,0))</f>
        <v>15022</v>
      </c>
    </row>
    <row r="7" spans="1:4" x14ac:dyDescent="0.2">
      <c r="B7" t="s">
        <v>701</v>
      </c>
      <c r="C7" s="179">
        <f>IF('DOE25'!I665+'DOE25'!I670=0,0,ROUND('DOE25'!I672,0))</f>
        <v>16012</v>
      </c>
    </row>
    <row r="9" spans="1:4" x14ac:dyDescent="0.2">
      <c r="A9" s="187" t="s">
        <v>94</v>
      </c>
      <c r="B9" s="188" t="s">
        <v>1603</v>
      </c>
      <c r="C9" s="181" t="s">
        <v>720</v>
      </c>
      <c r="D9" s="181" t="s">
        <v>721</v>
      </c>
    </row>
    <row r="10" spans="1:4" x14ac:dyDescent="0.2">
      <c r="A10">
        <v>1100</v>
      </c>
      <c r="B10" t="s">
        <v>702</v>
      </c>
      <c r="C10" s="179">
        <f>ROUND('DOE25'!L197+'DOE25'!L215+'DOE25'!L233+'DOE25'!L276+'DOE25'!L295+'DOE25'!L314,0)</f>
        <v>10399259</v>
      </c>
      <c r="D10" s="182">
        <f>ROUND((C10/$C$28)*100,1)</f>
        <v>43.6</v>
      </c>
    </row>
    <row r="11" spans="1:4" x14ac:dyDescent="0.2">
      <c r="A11">
        <v>1200</v>
      </c>
      <c r="B11" t="s">
        <v>703</v>
      </c>
      <c r="C11" s="179">
        <f>ROUND('DOE25'!L198+'DOE25'!L216+'DOE25'!L234+'DOE25'!L277+'DOE25'!L296+'DOE25'!L315,0)</f>
        <v>4055113</v>
      </c>
      <c r="D11" s="182">
        <f>ROUND((C11/$C$28)*100,1)</f>
        <v>17</v>
      </c>
    </row>
    <row r="12" spans="1:4" x14ac:dyDescent="0.2">
      <c r="A12">
        <v>1300</v>
      </c>
      <c r="B12" t="s">
        <v>704</v>
      </c>
      <c r="C12" s="179">
        <f>ROUND('DOE25'!L199+'DOE25'!L217+'DOE25'!L235+'DOE25'!L278+'DOE25'!L297+'DOE25'!L316,0)</f>
        <v>778463</v>
      </c>
      <c r="D12" s="182">
        <f>ROUND((C12/$C$28)*100,1)</f>
        <v>3.3</v>
      </c>
    </row>
    <row r="13" spans="1:4" x14ac:dyDescent="0.2">
      <c r="A13">
        <v>1400</v>
      </c>
      <c r="B13" t="s">
        <v>705</v>
      </c>
      <c r="C13" s="179">
        <f>ROUND('DOE25'!L200+'DOE25'!L218+'DOE25'!L236+'DOE25'!L279+'DOE25'!L298+'DOE25'!L317,0)</f>
        <v>620179</v>
      </c>
      <c r="D13" s="182">
        <f>ROUND((C13/$C$28)*100,1)</f>
        <v>2.6</v>
      </c>
    </row>
    <row r="14" spans="1:4" x14ac:dyDescent="0.2">
      <c r="D14" s="182"/>
    </row>
    <row r="15" spans="1:4" x14ac:dyDescent="0.2">
      <c r="A15">
        <v>2100</v>
      </c>
      <c r="B15" t="s">
        <v>706</v>
      </c>
      <c r="C15" s="179">
        <f>ROUND('DOE25'!L202+'DOE25'!L220+'DOE25'!L238+'DOE25'!L281+'DOE25'!L300+'DOE25'!L319,0)</f>
        <v>1769704</v>
      </c>
      <c r="D15" s="182">
        <f t="shared" ref="D15:D27" si="0">ROUND((C15/$C$28)*100,1)</f>
        <v>7.4</v>
      </c>
    </row>
    <row r="16" spans="1:4" x14ac:dyDescent="0.2">
      <c r="A16">
        <v>2200</v>
      </c>
      <c r="B16" t="s">
        <v>707</v>
      </c>
      <c r="C16" s="179">
        <f>ROUND('DOE25'!L203+'DOE25'!L221+'DOE25'!L239+'DOE25'!L282+'DOE25'!L301+'DOE25'!L320,0)</f>
        <v>471614</v>
      </c>
      <c r="D16" s="182">
        <f t="shared" si="0"/>
        <v>2</v>
      </c>
    </row>
    <row r="17" spans="1:4" x14ac:dyDescent="0.2">
      <c r="A17" s="183" t="s">
        <v>723</v>
      </c>
      <c r="B17" t="s">
        <v>738</v>
      </c>
      <c r="C17" s="179">
        <f>ROUND('DOE25'!L204+'DOE25'!L209+'DOE25'!L222+'DOE25'!L227+'DOE25'!L240+'DOE25'!L245+'DOE25'!L283+'DOE25'!L288+'DOE25'!L302+'DOE25'!L307+'DOE25'!L321+'DOE25'!L326,0)</f>
        <v>743616</v>
      </c>
      <c r="D17" s="182">
        <f t="shared" si="0"/>
        <v>3.1</v>
      </c>
    </row>
    <row r="18" spans="1:4" x14ac:dyDescent="0.2">
      <c r="A18">
        <v>2400</v>
      </c>
      <c r="B18" t="s">
        <v>711</v>
      </c>
      <c r="C18" s="179">
        <f>ROUND('DOE25'!L205+'DOE25'!L223+'DOE25'!L241+'DOE25'!L284+'DOE25'!L303+'DOE25'!L322,0)</f>
        <v>2076544</v>
      </c>
      <c r="D18" s="182">
        <f t="shared" si="0"/>
        <v>8.6999999999999993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1806646</v>
      </c>
      <c r="D20" s="182">
        <f t="shared" si="0"/>
        <v>7.6</v>
      </c>
    </row>
    <row r="21" spans="1:4" x14ac:dyDescent="0.2">
      <c r="A21">
        <v>2700</v>
      </c>
      <c r="B21" t="s">
        <v>710</v>
      </c>
      <c r="C21" s="179">
        <f>ROUND('DOE25'!L208+'DOE25'!L226+'DOE25'!L244+'DOE25'!L287+'DOE25'!L306+'DOE25'!L325,0)</f>
        <v>737882</v>
      </c>
      <c r="D21" s="182">
        <f t="shared" si="0"/>
        <v>3.1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4050</v>
      </c>
      <c r="D25" s="182">
        <f t="shared" si="0"/>
        <v>0</v>
      </c>
    </row>
    <row r="26" spans="1:4" x14ac:dyDescent="0.2">
      <c r="A26" s="183" t="s">
        <v>717</v>
      </c>
      <c r="B26" t="s">
        <v>718</v>
      </c>
      <c r="C26" s="179">
        <f>'DOE25'!L268+'DOE25'!L269+'DOE25'!L349+'DOE25'!L350</f>
        <v>93013.72</v>
      </c>
      <c r="D26" s="182">
        <f t="shared" si="0"/>
        <v>0.4</v>
      </c>
    </row>
    <row r="27" spans="1:4" x14ac:dyDescent="0.2">
      <c r="A27">
        <v>3100</v>
      </c>
      <c r="B27" t="s">
        <v>11</v>
      </c>
      <c r="C27" s="179">
        <f>ROUND('DOE25'!L362-'DOE25'!L361,0)-SUM('DOE25'!G97:G110)</f>
        <v>307777.06</v>
      </c>
      <c r="D27" s="182">
        <f t="shared" si="0"/>
        <v>1.3</v>
      </c>
    </row>
    <row r="28" spans="1:4" x14ac:dyDescent="0.2">
      <c r="B28" s="187" t="s">
        <v>719</v>
      </c>
      <c r="C28" s="180">
        <f>SUM(C10:C27)</f>
        <v>23863860.779999997</v>
      </c>
      <c r="D28" s="184">
        <f>ROUND(SUM(D10:D27),0)</f>
        <v>100</v>
      </c>
    </row>
    <row r="29" spans="1:4" x14ac:dyDescent="0.2">
      <c r="A29">
        <v>4000</v>
      </c>
      <c r="B29" t="s">
        <v>724</v>
      </c>
      <c r="C29" s="179">
        <f>ROUND('DOE25'!L255+'DOE25'!L336+'DOE25'!L374+'DOE25'!L375+'DOE25'!L376+'DOE25'!L377+'DOE25'!L378+'DOE25'!L379+'DOE25'!L380,0)</f>
        <v>708568</v>
      </c>
    </row>
    <row r="30" spans="1:4" x14ac:dyDescent="0.2">
      <c r="B30" s="187" t="s">
        <v>725</v>
      </c>
      <c r="C30" s="180">
        <f>SUM(C28:C29)</f>
        <v>24572428.779999997</v>
      </c>
    </row>
    <row r="31" spans="1:4" x14ac:dyDescent="0.2">
      <c r="B31" s="33"/>
      <c r="C31" s="180"/>
    </row>
    <row r="32" spans="1:4" x14ac:dyDescent="0.2">
      <c r="A32">
        <v>5100</v>
      </c>
      <c r="B32" s="33" t="s">
        <v>726</v>
      </c>
      <c r="C32" s="180">
        <f>ROUND('DOE25'!L260+'DOE25'!L341,0)</f>
        <v>45000</v>
      </c>
    </row>
    <row r="34" spans="1:4" x14ac:dyDescent="0.2">
      <c r="A34" s="187" t="s">
        <v>94</v>
      </c>
      <c r="B34" s="188" t="s">
        <v>1604</v>
      </c>
      <c r="C34" s="181" t="s">
        <v>720</v>
      </c>
      <c r="D34" s="181" t="s">
        <v>721</v>
      </c>
    </row>
    <row r="35" spans="1:4" x14ac:dyDescent="0.2">
      <c r="A35">
        <v>1100</v>
      </c>
      <c r="B35" s="185" t="s">
        <v>727</v>
      </c>
      <c r="C35" s="179">
        <f>ROUND('DOE25'!F60+'DOE25'!G60+'DOE25'!H60+'DOE25'!I60+'DOE25'!J60,0)</f>
        <v>9596405</v>
      </c>
      <c r="D35" s="182">
        <f t="shared" ref="D35:D40" si="1">ROUND((C35/$C$41)*100,1)</f>
        <v>39.5</v>
      </c>
    </row>
    <row r="36" spans="1:4" x14ac:dyDescent="0.2">
      <c r="B36" s="185" t="s">
        <v>739</v>
      </c>
      <c r="C36" s="179">
        <f>SUM('DOE25'!F112:J112)-SUM('DOE25'!G97:G110)+('DOE25'!F174+'DOE25'!F175+'DOE25'!I174+'DOE25'!I175)-C35</f>
        <v>6644152.2600000016</v>
      </c>
      <c r="D36" s="182">
        <f t="shared" si="1"/>
        <v>27.4</v>
      </c>
    </row>
    <row r="37" spans="1:4" x14ac:dyDescent="0.2">
      <c r="A37" s="183" t="s">
        <v>835</v>
      </c>
      <c r="B37" s="185" t="s">
        <v>728</v>
      </c>
      <c r="C37" s="179">
        <f>ROUND('DOE25'!F117+'DOE25'!F118,0)</f>
        <v>6439638</v>
      </c>
      <c r="D37" s="182">
        <f t="shared" si="1"/>
        <v>26.5</v>
      </c>
    </row>
    <row r="38" spans="1:4" x14ac:dyDescent="0.2">
      <c r="A38" s="183" t="s">
        <v>734</v>
      </c>
      <c r="B38" s="185" t="s">
        <v>729</v>
      </c>
      <c r="C38" s="179">
        <f>ROUND(SUM('DOE25'!F140:J140)-SUM('DOE25'!F117:F119),0)</f>
        <v>347406</v>
      </c>
      <c r="D38" s="182">
        <f t="shared" si="1"/>
        <v>1.4</v>
      </c>
    </row>
    <row r="39" spans="1:4" x14ac:dyDescent="0.2">
      <c r="A39">
        <v>4000</v>
      </c>
      <c r="B39" s="185" t="s">
        <v>730</v>
      </c>
      <c r="C39" s="179">
        <f>ROUND('DOE25'!F169+'DOE25'!G169+'DOE25'!H169+'DOE25'!I169,0)</f>
        <v>1245232</v>
      </c>
      <c r="D39" s="182">
        <f t="shared" si="1"/>
        <v>5.0999999999999996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24272833.260000002</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Pembroke SD</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2019-10-31T15:18:08Z</cp:lastPrinted>
  <dcterms:created xsi:type="dcterms:W3CDTF">1997-12-04T19:04:30Z</dcterms:created>
  <dcterms:modified xsi:type="dcterms:W3CDTF">2019-11-22T16:05:33Z</dcterms:modified>
</cp:coreProperties>
</file>