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7" i="13" l="1"/>
  <c r="D9" i="13"/>
  <c r="C20" i="12"/>
  <c r="B21" i="12"/>
  <c r="B20" i="12"/>
  <c r="B19" i="12"/>
  <c r="B10" i="12"/>
  <c r="J595" i="1"/>
  <c r="J594" i="1"/>
  <c r="J591" i="1"/>
  <c r="H595" i="1"/>
  <c r="H594" i="1"/>
  <c r="H591" i="1"/>
  <c r="J604" i="1"/>
  <c r="H528" i="1"/>
  <c r="H526" i="1"/>
  <c r="G523" i="1"/>
  <c r="F523" i="1"/>
  <c r="I526" i="1"/>
  <c r="G526" i="1"/>
  <c r="F526" i="1"/>
  <c r="G521" i="1"/>
  <c r="F521" i="1"/>
  <c r="K263" i="1"/>
  <c r="H244" i="1"/>
  <c r="H243" i="1"/>
  <c r="H241" i="1"/>
  <c r="H240" i="1"/>
  <c r="K239" i="1"/>
  <c r="H236" i="1"/>
  <c r="H233" i="1"/>
  <c r="H208" i="1"/>
  <c r="H207" i="1"/>
  <c r="H205" i="1"/>
  <c r="H204" i="1"/>
  <c r="J203" i="1"/>
  <c r="H202" i="1"/>
  <c r="H197" i="1"/>
  <c r="F186" i="1" l="1"/>
  <c r="F28" i="1"/>
  <c r="H282" i="1" l="1"/>
  <c r="H276" i="1"/>
  <c r="H155" i="1"/>
  <c r="H154" i="1"/>
  <c r="H29" i="1"/>
  <c r="H28" i="1"/>
  <c r="H360" i="1" l="1"/>
  <c r="H358" i="1"/>
  <c r="G48" i="1"/>
  <c r="G14" i="1"/>
  <c r="I360" i="1" l="1"/>
  <c r="I358" i="1"/>
  <c r="G24" i="1"/>
  <c r="H396" i="1"/>
  <c r="J426" i="1"/>
  <c r="J472"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C110" i="2" s="1"/>
  <c r="L235" i="1"/>
  <c r="C12" i="10" s="1"/>
  <c r="L236" i="1"/>
  <c r="C112" i="2" s="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E112" i="2" s="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C85" i="2" s="1"/>
  <c r="C91" i="2" s="1"/>
  <c r="F162" i="1"/>
  <c r="F169" i="1" s="1"/>
  <c r="G147" i="1"/>
  <c r="G162" i="1"/>
  <c r="H147" i="1"/>
  <c r="H162" i="1"/>
  <c r="H169" i="1" s="1"/>
  <c r="I147" i="1"/>
  <c r="I162" i="1"/>
  <c r="L250" i="1"/>
  <c r="C113" i="2" s="1"/>
  <c r="L332" i="1"/>
  <c r="E113" i="2" s="1"/>
  <c r="L254" i="1"/>
  <c r="L268" i="1"/>
  <c r="L269" i="1"/>
  <c r="C143" i="2" s="1"/>
  <c r="L349" i="1"/>
  <c r="E142" i="2" s="1"/>
  <c r="L350" i="1"/>
  <c r="I665" i="1"/>
  <c r="I670" i="1"/>
  <c r="G662" i="1"/>
  <c r="I669" i="1"/>
  <c r="C42" i="10"/>
  <c r="C3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L528" i="1"/>
  <c r="G551" i="1" s="1"/>
  <c r="L531" i="1"/>
  <c r="H549" i="1" s="1"/>
  <c r="H552"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F18" i="2" s="1"/>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20" i="2"/>
  <c r="E121" i="2"/>
  <c r="E123" i="2"/>
  <c r="E124" i="2"/>
  <c r="E125" i="2"/>
  <c r="F128" i="2"/>
  <c r="G128" i="2"/>
  <c r="D134" i="2"/>
  <c r="D144" i="2" s="1"/>
  <c r="E134" i="2"/>
  <c r="F134" i="2"/>
  <c r="K419" i="1"/>
  <c r="K427" i="1"/>
  <c r="K433" i="1"/>
  <c r="L263" i="1"/>
  <c r="C135" i="2" s="1"/>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J257" i="1" s="1"/>
  <c r="K247" i="1"/>
  <c r="F256" i="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I369" i="1" s="1"/>
  <c r="H634" i="1" s="1"/>
  <c r="F369" i="1"/>
  <c r="G369" i="1"/>
  <c r="H369" i="1"/>
  <c r="L381" i="1"/>
  <c r="F382" i="1"/>
  <c r="G382" i="1"/>
  <c r="H382" i="1"/>
  <c r="I382" i="1"/>
  <c r="J382" i="1"/>
  <c r="K382" i="1"/>
  <c r="F393" i="1"/>
  <c r="G393" i="1"/>
  <c r="H393" i="1"/>
  <c r="I393" i="1"/>
  <c r="F401" i="1"/>
  <c r="G401" i="1"/>
  <c r="G408" i="1" s="1"/>
  <c r="H645" i="1" s="1"/>
  <c r="J645" i="1" s="1"/>
  <c r="H401" i="1"/>
  <c r="H408" i="1" s="1"/>
  <c r="H644" i="1" s="1"/>
  <c r="I401" i="1"/>
  <c r="F407" i="1"/>
  <c r="G407" i="1"/>
  <c r="H407" i="1"/>
  <c r="I407" i="1"/>
  <c r="F408" i="1"/>
  <c r="I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J641" i="1" s="1"/>
  <c r="F460" i="1"/>
  <c r="G460" i="1"/>
  <c r="H460" i="1"/>
  <c r="F461" i="1"/>
  <c r="H639" i="1" s="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F571" i="1" s="1"/>
  <c r="G560" i="1"/>
  <c r="H560" i="1"/>
  <c r="I560" i="1"/>
  <c r="J560" i="1"/>
  <c r="J571" i="1" s="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4" i="1"/>
  <c r="G625" i="1"/>
  <c r="H627" i="1"/>
  <c r="H628" i="1"/>
  <c r="H629" i="1"/>
  <c r="H630" i="1"/>
  <c r="H631" i="1"/>
  <c r="H632" i="1"/>
  <c r="H633" i="1"/>
  <c r="G634" i="1"/>
  <c r="H635" i="1"/>
  <c r="H636" i="1"/>
  <c r="H637" i="1"/>
  <c r="H638" i="1"/>
  <c r="G641" i="1"/>
  <c r="G643" i="1"/>
  <c r="H643" i="1"/>
  <c r="G644" i="1"/>
  <c r="G645" i="1"/>
  <c r="G650" i="1"/>
  <c r="G651" i="1"/>
  <c r="G652" i="1"/>
  <c r="H652" i="1"/>
  <c r="G653" i="1"/>
  <c r="H653" i="1"/>
  <c r="G654" i="1"/>
  <c r="H654" i="1"/>
  <c r="H655" i="1"/>
  <c r="L256" i="1"/>
  <c r="D31" i="2"/>
  <c r="D50" i="2"/>
  <c r="D91" i="2"/>
  <c r="G62" i="2"/>
  <c r="E78" i="2"/>
  <c r="I169" i="1"/>
  <c r="J643" i="1"/>
  <c r="J140" i="1"/>
  <c r="G22" i="2"/>
  <c r="H140" i="1"/>
  <c r="L560" i="1"/>
  <c r="C18" i="2" l="1"/>
  <c r="I545" i="1"/>
  <c r="L309" i="1"/>
  <c r="E118" i="2"/>
  <c r="H571" i="1"/>
  <c r="I571" i="1"/>
  <c r="C114" i="2"/>
  <c r="I552" i="1"/>
  <c r="J625" i="1"/>
  <c r="G461" i="1"/>
  <c r="H640" i="1" s="1"/>
  <c r="G164" i="2"/>
  <c r="G161" i="2"/>
  <c r="G157" i="2"/>
  <c r="G156" i="2"/>
  <c r="L270" i="1"/>
  <c r="C26" i="10"/>
  <c r="H662" i="1"/>
  <c r="K545" i="1"/>
  <c r="L393" i="1"/>
  <c r="C138" i="2" s="1"/>
  <c r="E122" i="2"/>
  <c r="L614" i="1"/>
  <c r="L570" i="1"/>
  <c r="L565" i="1"/>
  <c r="L433" i="1"/>
  <c r="F130" i="2"/>
  <c r="F144" i="2" s="1"/>
  <c r="F145" i="2" s="1"/>
  <c r="K605" i="1"/>
  <c r="G648" i="1" s="1"/>
  <c r="J545" i="1"/>
  <c r="D81" i="2"/>
  <c r="C125" i="2"/>
  <c r="K598" i="1"/>
  <c r="G647" i="1" s="1"/>
  <c r="J651" i="1"/>
  <c r="G552" i="1"/>
  <c r="J552" i="1"/>
  <c r="G545" i="1"/>
  <c r="L529" i="1"/>
  <c r="H545" i="1"/>
  <c r="F552" i="1"/>
  <c r="D15" i="13"/>
  <c r="C15" i="13" s="1"/>
  <c r="C18" i="10"/>
  <c r="C119" i="2"/>
  <c r="C13" i="10"/>
  <c r="C11" i="10"/>
  <c r="K257" i="1"/>
  <c r="K271" i="1" s="1"/>
  <c r="H257" i="1"/>
  <c r="H271" i="1" s="1"/>
  <c r="L247" i="1"/>
  <c r="F257" i="1"/>
  <c r="F271" i="1" s="1"/>
  <c r="H647" i="1"/>
  <c r="C121" i="2"/>
  <c r="C120" i="2"/>
  <c r="D6" i="13"/>
  <c r="C6" i="13" s="1"/>
  <c r="I257" i="1"/>
  <c r="I271" i="1" s="1"/>
  <c r="L211" i="1"/>
  <c r="F476" i="1"/>
  <c r="H622" i="1" s="1"/>
  <c r="J622" i="1" s="1"/>
  <c r="F192" i="1"/>
  <c r="C78" i="2"/>
  <c r="C70" i="2"/>
  <c r="F112" i="1"/>
  <c r="H476" i="1"/>
  <c r="H624" i="1" s="1"/>
  <c r="J624" i="1" s="1"/>
  <c r="L328" i="1"/>
  <c r="E119" i="2"/>
  <c r="E128" i="2" s="1"/>
  <c r="F338" i="1"/>
  <c r="F352" i="1" s="1"/>
  <c r="C20" i="10"/>
  <c r="L290" i="1"/>
  <c r="E62" i="2"/>
  <c r="E63" i="2" s="1"/>
  <c r="E31" i="2"/>
  <c r="H52" i="1"/>
  <c r="H619" i="1" s="1"/>
  <c r="J619" i="1" s="1"/>
  <c r="L351" i="1"/>
  <c r="J634" i="1"/>
  <c r="G476" i="1"/>
  <c r="H623" i="1" s="1"/>
  <c r="J623" i="1" s="1"/>
  <c r="F661" i="1"/>
  <c r="L362" i="1"/>
  <c r="G635" i="1" s="1"/>
  <c r="J635" i="1" s="1"/>
  <c r="G661" i="1"/>
  <c r="G192" i="1"/>
  <c r="D62" i="2"/>
  <c r="D63" i="2" s="1"/>
  <c r="D18" i="2"/>
  <c r="K549" i="1"/>
  <c r="J644" i="1"/>
  <c r="J476" i="1"/>
  <c r="H626" i="1" s="1"/>
  <c r="J640" i="1"/>
  <c r="L427" i="1"/>
  <c r="L434" i="1" s="1"/>
  <c r="G638" i="1" s="1"/>
  <c r="J638" i="1" s="1"/>
  <c r="J617" i="1"/>
  <c r="J639" i="1"/>
  <c r="K551" i="1"/>
  <c r="I25" i="13"/>
  <c r="K550" i="1"/>
  <c r="J271" i="1"/>
  <c r="L534" i="1"/>
  <c r="K500" i="1"/>
  <c r="I460" i="1"/>
  <c r="I452" i="1"/>
  <c r="I446" i="1"/>
  <c r="G642" i="1" s="1"/>
  <c r="H338" i="1"/>
  <c r="H352" i="1" s="1"/>
  <c r="C123" i="2"/>
  <c r="E109" i="2"/>
  <c r="E115" i="2" s="1"/>
  <c r="C56" i="2"/>
  <c r="F662" i="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F104"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L571" i="1"/>
  <c r="I192" i="1"/>
  <c r="E91" i="2"/>
  <c r="L408" i="1"/>
  <c r="G637" i="1" s="1"/>
  <c r="J637" i="1" s="1"/>
  <c r="D51" i="2"/>
  <c r="J654" i="1"/>
  <c r="J653" i="1"/>
  <c r="G21" i="2"/>
  <c r="G31" i="2" s="1"/>
  <c r="J32" i="1"/>
  <c r="J434" i="1"/>
  <c r="F434" i="1"/>
  <c r="K434" i="1"/>
  <c r="G134" i="2" s="1"/>
  <c r="G144" i="2" s="1"/>
  <c r="G145" i="2" s="1"/>
  <c r="G31" i="13"/>
  <c r="G33" i="13" s="1"/>
  <c r="J193" i="1"/>
  <c r="G646" i="1" s="1"/>
  <c r="H193" i="1"/>
  <c r="G629" i="1" s="1"/>
  <c r="J629" i="1" s="1"/>
  <c r="G169" i="1"/>
  <c r="C39" i="10" s="1"/>
  <c r="G140" i="1"/>
  <c r="F140" i="1"/>
  <c r="G63" i="2"/>
  <c r="G104" i="2" s="1"/>
  <c r="J618" i="1"/>
  <c r="G42" i="2"/>
  <c r="J51" i="1"/>
  <c r="G16" i="2"/>
  <c r="G18" i="2" s="1"/>
  <c r="J19" i="1"/>
  <c r="G621" i="1" s="1"/>
  <c r="F545" i="1"/>
  <c r="H434" i="1"/>
  <c r="J620" i="1"/>
  <c r="D103" i="2"/>
  <c r="I140" i="1"/>
  <c r="A22" i="12"/>
  <c r="G50" i="2"/>
  <c r="G51" i="2" s="1"/>
  <c r="H648" i="1"/>
  <c r="J648" i="1" s="1"/>
  <c r="J652" i="1"/>
  <c r="G571" i="1"/>
  <c r="I434" i="1"/>
  <c r="G434" i="1"/>
  <c r="I663" i="1"/>
  <c r="C27" i="10"/>
  <c r="I662" i="1" l="1"/>
  <c r="I193" i="1"/>
  <c r="G630" i="1" s="1"/>
  <c r="J630" i="1" s="1"/>
  <c r="C144" i="2"/>
  <c r="C81" i="2"/>
  <c r="C115" i="2"/>
  <c r="J647" i="1"/>
  <c r="L545" i="1"/>
  <c r="H660" i="1"/>
  <c r="H664" i="1" s="1"/>
  <c r="L257" i="1"/>
  <c r="L271" i="1" s="1"/>
  <c r="G632" i="1" s="1"/>
  <c r="J632" i="1" s="1"/>
  <c r="C128" i="2"/>
  <c r="E33" i="13"/>
  <c r="D35" i="13" s="1"/>
  <c r="F660" i="1"/>
  <c r="F664" i="1" s="1"/>
  <c r="F672" i="1" s="1"/>
  <c r="C4" i="10" s="1"/>
  <c r="C36" i="10"/>
  <c r="F193" i="1"/>
  <c r="G627" i="1" s="1"/>
  <c r="J627" i="1" s="1"/>
  <c r="C63" i="2"/>
  <c r="G36" i="14"/>
  <c r="H36" i="14" s="1"/>
  <c r="I36" i="14" s="1"/>
  <c r="G4" i="14"/>
  <c r="H4" i="14" s="1"/>
  <c r="I4" i="14" s="1"/>
  <c r="L338" i="1"/>
  <c r="L352" i="1" s="1"/>
  <c r="G633" i="1" s="1"/>
  <c r="J633" i="1" s="1"/>
  <c r="E145" i="2"/>
  <c r="E104" i="2"/>
  <c r="E51" i="2"/>
  <c r="I661" i="1"/>
  <c r="D104" i="2"/>
  <c r="H646" i="1"/>
  <c r="J646" i="1" s="1"/>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C145" i="2" l="1"/>
  <c r="C104" i="2"/>
  <c r="I660" i="1"/>
  <c r="I664" i="1" s="1"/>
  <c r="I672" i="1" s="1"/>
  <c r="C7" i="10" s="1"/>
  <c r="F667" i="1"/>
  <c r="D25" i="10"/>
  <c r="G672" i="1"/>
  <c r="C5" i="10" s="1"/>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<sst xmlns="http://schemas.openxmlformats.org/spreadsheetml/2006/main" count="5505" uniqueCount="1611">
  <si>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</si>
  <si>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</si>
  <si>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</si>
  <si>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</si>
  <si>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</si>
  <si>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</si>
  <si>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</si>
  <si>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</si>
  <si>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</si>
  <si>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</si>
  <si>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</si>
  <si>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</si>
  <si>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</si>
  <si>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</si>
  <si>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</si>
  <si>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</si>
  <si>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</si>
  <si>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</si>
  <si>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</si>
  <si>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</si>
  <si>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</si>
  <si>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</si>
  <si>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</si>
  <si>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</si>
  <si>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</si>
  <si>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</si>
  <si>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</si>
  <si>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</si>
  <si>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</si>
  <si>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</si>
  <si>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</si>
  <si>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</si>
  <si>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</si>
  <si>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</si>
  <si>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</si>
  <si>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</si>
  <si>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</si>
  <si>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</si>
  <si>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</si>
  <si>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</si>
  <si>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</si>
  <si>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</si>
  <si>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</si>
  <si>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</si>
  <si>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</si>
  <si>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</si>
  <si>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</si>
  <si>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</si>
  <si>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</si>
  <si>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</si>
  <si>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</si>
  <si>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</si>
  <si>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</si>
  <si>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</si>
  <si>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</si>
  <si>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</si>
  <si>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</si>
  <si>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</si>
  <si>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</si>
  <si>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</si>
  <si>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</si>
  <si>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</si>
  <si>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</si>
  <si>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</si>
  <si>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</si>
  <si>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</si>
  <si>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</si>
  <si>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</si>
  <si>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</si>
  <si>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</si>
  <si>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</si>
  <si>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</si>
  <si>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</si>
  <si>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</si>
  <si>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</si>
  <si>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</si>
  <si>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</si>
  <si>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</si>
  <si>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</si>
  <si>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</si>
  <si>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</si>
  <si>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</si>
  <si>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</si>
  <si>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</si>
  <si>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</si>
  <si>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</si>
  <si>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</si>
  <si>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</si>
  <si>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</si>
  <si>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</si>
  <si>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</si>
  <si>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</si>
  <si>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</si>
  <si>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</si>
  <si>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</si>
  <si>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</si>
  <si>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</si>
  <si>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</si>
  <si>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</si>
  <si>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</si>
  <si>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</si>
  <si>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</si>
  <si>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</si>
  <si>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</si>
  <si>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</si>
  <si>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</si>
  <si>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</si>
  <si>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</si>
  <si>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</si>
  <si>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</si>
  <si>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</si>
  <si>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</si>
  <si>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</si>
  <si>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</si>
  <si>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</si>
  <si>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</si>
  <si>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</si>
  <si>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</si>
  <si>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</si>
  <si>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</si>
  <si>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</si>
  <si>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</si>
  <si>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</si>
  <si>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</si>
  <si>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</si>
  <si>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</si>
  <si>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</si>
  <si>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</si>
  <si>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</si>
  <si>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</si>
  <si>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</si>
  <si>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</si>
  <si>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</si>
  <si>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</si>
  <si>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</si>
  <si>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</si>
  <si>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</si>
  <si>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</si>
  <si>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</si>
  <si>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</si>
  <si>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</si>
  <si>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</si>
  <si>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</si>
  <si>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</si>
  <si>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</si>
  <si>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</si>
  <si>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</si>
  <si>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</si>
  <si>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</si>
  <si>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</si>
  <si>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</si>
  <si>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</si>
  <si>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</si>
  <si>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</si>
  <si>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</si>
  <si>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</si>
  <si>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</si>
  <si>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</si>
  <si>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</si>
  <si>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</si>
  <si>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</si>
  <si>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</si>
  <si>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</si>
  <si>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</si>
  <si>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</si>
  <si>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</si>
  <si>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</si>
  <si>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</si>
  <si>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</si>
  <si>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</si>
  <si>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</si>
  <si>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</si>
  <si>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</si>
  <si>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</si>
  <si>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</si>
  <si>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</si>
  <si>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</si>
  <si>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</si>
  <si>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</si>
  <si>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</si>
  <si>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</si>
  <si>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</si>
  <si>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</si>
  <si>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</si>
  <si>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</si>
  <si>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</si>
  <si>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</si>
  <si>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</si>
  <si>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</si>
  <si>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</si>
  <si>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</si>
  <si>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</si>
  <si>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</si>
  <si>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</si>
  <si>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</si>
  <si>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</si>
  <si>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</si>
  <si>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</si>
  <si>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</si>
  <si>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</si>
  <si>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</si>
  <si>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</si>
  <si>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</si>
  <si>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</si>
  <si>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</si>
  <si>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</si>
  <si>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</si>
  <si>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</si>
  <si>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</si>
  <si>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</si>
  <si>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</si>
  <si>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</si>
  <si>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</si>
  <si>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</si>
  <si>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</si>
  <si>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</si>
  <si>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</si>
  <si>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</si>
  <si>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</si>
  <si>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</si>
  <si>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</si>
  <si>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</si>
  <si>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</si>
  <si>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</si>
  <si>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</si>
  <si>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</si>
  <si>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</si>
  <si>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</si>
  <si>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</si>
  <si>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</si>
  <si>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</si>
  <si>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</si>
  <si>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</si>
  <si>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</si>
  <si>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</si>
  <si>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</si>
  <si>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</si>
  <si>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</si>
  <si>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</si>
  <si>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</si>
  <si>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</si>
  <si>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</si>
  <si>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</si>
  <si>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</si>
  <si>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</si>
  <si>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</si>
  <si>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</si>
  <si>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</si>
  <si>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</si>
  <si>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</si>
  <si>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</si>
  <si>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</si>
  <si>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</si>
  <si>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</si>
  <si>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</si>
  <si>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</si>
  <si>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</si>
  <si>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</si>
  <si>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</si>
  <si>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</si>
  <si>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</si>
  <si>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</si>
  <si>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</si>
  <si>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</si>
  <si>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</si>
  <si>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</si>
  <si>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</si>
  <si>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</si>
  <si>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</si>
  <si>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</si>
  <si>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</si>
  <si>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</si>
  <si>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</si>
  <si>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</si>
  <si>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</si>
  <si>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</si>
  <si>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</si>
  <si>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</si>
  <si>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</si>
  <si>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</si>
  <si>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</si>
  <si>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</si>
  <si>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</si>
  <si>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</si>
  <si>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</si>
  <si>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</si>
  <si>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</si>
  <si>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</si>
  <si>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</si>
  <si>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</si>
  <si>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</si>
  <si>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</si>
  <si>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</si>
  <si>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</si>
  <si>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</si>
  <si>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</si>
  <si>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</si>
  <si>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</si>
  <si>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</si>
  <si>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</si>
  <si>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</si>
  <si>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</si>
  <si>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</si>
  <si>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</si>
  <si>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</si>
  <si>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</si>
  <si>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</si>
  <si>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</si>
  <si>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</si>
  <si>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</si>
  <si>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</si>
  <si>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</si>
  <si>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</si>
  <si>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</si>
  <si>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</si>
  <si>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</si>
  <si>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</si>
  <si>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</si>
  <si>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</si>
  <si>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</si>
  <si>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</si>
  <si>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</si>
  <si>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</si>
  <si>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</si>
  <si>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</si>
  <si>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</si>
  <si>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</si>
  <si>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</si>
  <si>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</si>
  <si>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</si>
  <si>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</si>
  <si>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</si>
  <si>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</si>
  <si>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</si>
  <si>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</si>
  <si>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</si>
  <si>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</si>
  <si>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</si>
  <si>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</si>
  <si>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</si>
  <si>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</si>
  <si>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</si>
  <si>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</si>
  <si>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</si>
  <si>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</si>
  <si>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</si>
  <si>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</si>
  <si>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</si>
  <si>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</si>
  <si>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</si>
  <si>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</si>
  <si>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</si>
  <si>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</si>
  <si>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</si>
  <si>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</si>
  <si>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</si>
  <si>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</si>
  <si>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</si>
  <si>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</si>
  <si>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</si>
  <si>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</si>
  <si>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</si>
  <si>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</si>
  <si>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</si>
  <si>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</si>
  <si>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</si>
  <si>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</si>
  <si>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</si>
  <si>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</si>
  <si>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</si>
  <si>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</si>
  <si>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</si>
  <si>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</si>
  <si>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</si>
  <si>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</si>
  <si>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</si>
  <si>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</si>
  <si>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</si>
  <si>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</si>
  <si>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</si>
  <si>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</si>
  <si>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</si>
  <si>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</si>
  <si>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</si>
  <si>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</si>
  <si>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</si>
  <si>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</si>
  <si>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</si>
  <si>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</si>
  <si>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</si>
  <si>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</si>
  <si>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</si>
  <si>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</si>
  <si>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</si>
  <si>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</si>
  <si>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</si>
  <si>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</si>
  <si>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</si>
  <si>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</si>
  <si>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</si>
  <si>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</si>
  <si>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</si>
  <si>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</si>
  <si>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</si>
  <si>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</si>
  <si>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</si>
  <si>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</si>
  <si>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</si>
  <si>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</si>
  <si>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</si>
  <si>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</si>
  <si>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</si>
  <si>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</si>
  <si>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</si>
  <si>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</si>
  <si>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</si>
  <si>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</si>
  <si>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</si>
  <si>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</si>
  <si>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</si>
  <si>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</si>
  <si>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</si>
  <si>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</si>
  <si>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</si>
  <si>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</si>
  <si>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</si>
  <si>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</si>
  <si>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</si>
  <si>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</si>
  <si>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</si>
  <si>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</si>
  <si>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</si>
  <si>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</si>
  <si>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</si>
  <si>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</si>
  <si>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</si>
  <si>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</si>
  <si>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</si>
  <si>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</si>
  <si>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</si>
  <si>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</si>
  <si>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</si>
  <si>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</si>
  <si>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</si>
  <si>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</si>
  <si>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</si>
  <si>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</si>
  <si>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</si>
  <si>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</si>
  <si>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</si>
  <si>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</si>
  <si>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</si>
  <si>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</si>
  <si>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</si>
  <si>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</si>
  <si>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</si>
  <si>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</si>
  <si>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</si>
  <si>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</si>
  <si>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</si>
  <si>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</si>
  <si>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</si>
  <si>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</si>
  <si>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</si>
  <si>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</si>
  <si>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</si>
  <si>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</si>
  <si>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</si>
  <si>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</si>
  <si>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</si>
  <si>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</si>
  <si>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</si>
  <si>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</si>
  <si>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</si>
  <si>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</si>
  <si>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</si>
  <si>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</si>
  <si>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</si>
  <si>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</si>
  <si>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</si>
  <si>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</si>
  <si>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</si>
  <si>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</si>
  <si>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</si>
  <si>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</si>
  <si>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</si>
  <si>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</si>
  <si>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</si>
  <si>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</si>
  <si>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</si>
  <si>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</si>
  <si>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</si>
  <si>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</si>
  <si>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</si>
  <si>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</si>
  <si>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</si>
  <si>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</si>
  <si>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</si>
  <si>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</si>
  <si>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</si>
  <si>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</si>
  <si>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</si>
  <si>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</si>
  <si>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</si>
  <si>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</si>
  <si>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</si>
  <si>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</si>
  <si>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</si>
  <si>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</si>
  <si>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</si>
  <si>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</si>
  <si>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</si>
  <si>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</si>
  <si>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</si>
  <si>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</si>
  <si>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</si>
  <si>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</si>
  <si>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</si>
  <si>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</si>
  <si>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</si>
  <si>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</si>
  <si>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</si>
  <si>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</si>
  <si>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</si>
  <si>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</si>
  <si>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</si>
  <si>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</si>
  <si>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</si>
  <si>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</si>
  <si>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</si>
  <si>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</si>
  <si>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</si>
  <si>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</si>
  <si>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</si>
  <si>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</si>
  <si>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</si>
  <si>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</si>
  <si>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</si>
  <si>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</si>
  <si>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</si>
  <si>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</si>
  <si>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</si>
  <si>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</si>
  <si>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</si>
  <si>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</si>
  <si>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</si>
  <si>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</si>
  <si>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</si>
  <si>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</si>
  <si>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</si>
  <si>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</si>
  <si>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</si>
  <si>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</si>
  <si>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</si>
  <si>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</si>
  <si>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</si>
  <si>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</si>
  <si>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</si>
  <si>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</si>
  <si>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</si>
  <si>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</si>
  <si>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</si>
  <si>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</si>
  <si>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</si>
  <si>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</si>
  <si>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</si>
  <si>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</si>
  <si>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</si>
  <si>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</si>
  <si>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</si>
  <si>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</si>
  <si>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</si>
  <si>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</si>
  <si>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</si>
  <si>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</si>
  <si>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</si>
  <si>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</si>
  <si>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</si>
  <si>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</si>
  <si>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</si>
  <si>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</si>
  <si>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</si>
  <si>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</si>
  <si>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</si>
  <si>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</si>
  <si>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</si>
  <si>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</si>
  <si>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</si>
  <si>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</si>
  <si>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</si>
  <si>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</si>
  <si>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</si>
  <si>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</si>
  <si>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</si>
  <si>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</si>
  <si>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</si>
  <si>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</si>
  <si>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</si>
  <si>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</si>
  <si>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</si>
  <si>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</si>
  <si>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</si>
  <si>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</si>
  <si>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</si>
  <si>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</si>
  <si>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</si>
  <si>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</si>
  <si>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</si>
  <si>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</si>
  <si>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</si>
  <si>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</si>
  <si>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</si>
  <si>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</si>
  <si>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</si>
  <si>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</si>
  <si>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</si>
  <si>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</si>
  <si>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</si>
  <si>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</si>
  <si>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</si>
  <si>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</si>
  <si>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</si>
  <si>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</si>
  <si>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</si>
  <si>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</si>
  <si>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</si>
  <si>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</si>
  <si>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</si>
  <si>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</si>
  <si>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</si>
  <si>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</si>
  <si>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</si>
  <si>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</si>
  <si>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</si>
  <si>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</si>
  <si>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</si>
  <si>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</si>
  <si>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</si>
  <si>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</si>
  <si>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</si>
  <si>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</si>
  <si>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</si>
  <si>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</si>
  <si>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</si>
  <si>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</si>
  <si>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</si>
  <si>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</si>
  <si>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</si>
  <si>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</si>
  <si>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</si>
  <si>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</si>
  <si>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</si>
  <si>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</si>
  <si>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</si>
  <si>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</si>
  <si>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</si>
  <si>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</si>
  <si>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</si>
  <si>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</si>
  <si>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</si>
  <si>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</si>
  <si>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</si>
  <si>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</si>
  <si>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</si>
  <si>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</si>
  <si>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</si>
  <si>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</si>
  <si>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</si>
  <si>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</si>
  <si>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</si>
  <si>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</si>
  <si>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</si>
  <si>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</si>
  <si>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</si>
  <si>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</si>
  <si>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</si>
  <si>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</si>
  <si>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</si>
  <si>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</si>
  <si>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</si>
  <si>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</si>
  <si>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</si>
  <si>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</si>
  <si>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</si>
  <si>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</si>
  <si>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</si>
  <si>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</si>
  <si>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</si>
  <si>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</si>
  <si>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</si>
  <si>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</si>
  <si>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</si>
  <si>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</si>
  <si>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</si>
  <si>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</si>
  <si>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</si>
  <si>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</si>
  <si>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</si>
  <si>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</si>
  <si>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</si>
  <si>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</si>
  <si>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</si>
  <si>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</si>
  <si>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</si>
  <si>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</si>
  <si>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</si>
  <si>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</si>
  <si>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</si>
  <si>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</si>
  <si>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</si>
  <si>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</si>
  <si>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</si>
  <si>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</si>
  <si>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</si>
  <si>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</si>
  <si>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</si>
  <si>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</si>
  <si>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</si>
  <si>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</si>
  <si>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</si>
  <si>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</si>
  <si>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</si>
  <si>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</si>
  <si>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</si>
  <si>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</si>
  <si>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</si>
  <si>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</si>
  <si>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</si>
  <si>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</si>
  <si>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</si>
  <si>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</si>
  <si>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</si>
  <si>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</si>
  <si>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</si>
  <si>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</si>
  <si>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</si>
  <si>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</si>
  <si>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</si>
  <si>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</si>
  <si>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</si>
  <si>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</si>
  <si>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</si>
  <si>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</si>
  <si>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</si>
  <si>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</si>
  <si>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</si>
  <si>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</si>
  <si>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</si>
  <si>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</si>
  <si>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</si>
  <si>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</si>
  <si>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</si>
  <si>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</si>
  <si>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</si>
  <si>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</si>
  <si>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</si>
  <si>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</si>
  <si>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</si>
  <si>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</si>
  <si>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</si>
  <si>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</si>
  <si>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</si>
  <si>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</si>
  <si>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</si>
  <si>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</si>
  <si>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</si>
  <si>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</si>
  <si>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</si>
  <si>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</si>
  <si>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</si>
  <si>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</si>
  <si>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</si>
  <si>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</si>
  <si>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</si>
  <si>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</si>
  <si>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</si>
  <si>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</si>
  <si>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</si>
  <si>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</si>
  <si>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</si>
  <si>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</si>
  <si>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</si>
  <si>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</si>
  <si>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</si>
  <si>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</si>
  <si>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</si>
  <si>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</si>
  <si>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</si>
  <si>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</si>
  <si>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</si>
  <si>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</si>
  <si>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</si>
  <si>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</si>
  <si>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</si>
  <si>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</si>
  <si>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</si>
  <si>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</si>
  <si>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</si>
  <si>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</si>
  <si>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</si>
  <si>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</si>
  <si>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</si>
  <si>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</si>
  <si>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</si>
  <si>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</si>
  <si>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</si>
  <si>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</si>
  <si>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</si>
  <si>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</si>
  <si>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</si>
  <si>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</si>
  <si>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</si>
  <si>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</si>
  <si>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</si>
  <si>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</si>
  <si>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</si>
  <si>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</si>
  <si>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</si>
  <si>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</si>
  <si>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</si>
  <si>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</si>
  <si>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</si>
  <si>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</si>
  <si>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</si>
  <si>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</si>
  <si>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</si>
  <si>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</si>
  <si>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</si>
  <si>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</si>
  <si>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</si>
  <si>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</si>
  <si>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</si>
  <si>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</si>
  <si>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</si>
  <si>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</si>
  <si>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</si>
  <si>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</si>
  <si>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</si>
  <si>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</si>
  <si>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</si>
  <si>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</si>
  <si>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</si>
  <si>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</si>
  <si>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</si>
  <si>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</si>
  <si>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</si>
  <si>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</si>
  <si>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</si>
  <si>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</si>
  <si>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</si>
  <si>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</si>
  <si>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</si>
  <si>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</si>
  <si>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</si>
  <si>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</si>
  <si>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</si>
  <si>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</si>
  <si>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</si>
  <si>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</si>
  <si>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</si>
  <si>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</si>
  <si>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</si>
  <si>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</si>
  <si>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</si>
  <si>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</si>
  <si>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</si>
  <si>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</si>
  <si>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</si>
  <si>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</si>
  <si>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</si>
  <si>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</si>
  <si>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</si>
  <si>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</si>
  <si>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</si>
  <si>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</si>
  <si>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</si>
  <si>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</si>
  <si>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</si>
  <si>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</si>
  <si>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</si>
  <si>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</si>
  <si>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</si>
  <si>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</si>
  <si>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</si>
  <si>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</si>
  <si>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</si>
  <si>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</si>
  <si>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</si>
  <si>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</si>
  <si>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</si>
  <si>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</si>
  <si>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</si>
  <si>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</si>
  <si>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</si>
  <si>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</si>
  <si>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</si>
  <si>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</si>
  <si>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</si>
  <si>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</si>
  <si>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</si>
  <si>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</si>
  <si>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</si>
  <si>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</si>
  <si>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</si>
  <si>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</si>
  <si>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</si>
  <si>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</si>
  <si>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</si>
  <si>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</si>
  <si>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</si>
  <si>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</si>
  <si>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</si>
  <si>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</si>
  <si>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</si>
  <si>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</si>
  <si>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</si>
  <si>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</si>
  <si>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</si>
  <si>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</si>
  <si>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</si>
  <si>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</si>
  <si>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</si>
  <si>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</si>
  <si>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</si>
  <si>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</si>
  <si>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</si>
  <si>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</si>
  <si>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</si>
  <si>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</si>
  <si>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</si>
  <si>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</si>
  <si>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</si>
  <si>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</si>
  <si>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</si>
  <si>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</si>
  <si>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</si>
  <si>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</si>
  <si>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</si>
  <si>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</si>
  <si>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</si>
  <si>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</si>
  <si>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</si>
  <si>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</si>
  <si>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</si>
  <si>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</si>
  <si>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</si>
  <si>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</si>
  <si>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</si>
  <si>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</si>
  <si>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</si>
  <si>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</si>
  <si>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</si>
  <si>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</si>
  <si>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</si>
  <si>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</si>
  <si>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</si>
  <si>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</si>
  <si>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</si>
  <si>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</si>
  <si>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</si>
  <si>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</si>
  <si>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</si>
  <si>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</si>
  <si>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</si>
  <si>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</si>
  <si>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</si>
  <si>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</si>
  <si>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</si>
  <si>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</si>
  <si>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</si>
  <si>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</si>
  <si>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</si>
  <si>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</si>
  <si>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</si>
  <si>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</si>
  <si>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</si>
  <si>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</si>
  <si>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</si>
  <si>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</si>
  <si>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</si>
  <si>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</si>
  <si>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</si>
  <si>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</si>
  <si>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</si>
  <si>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</si>
  <si>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</si>
  <si>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</si>
  <si>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</si>
  <si>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</si>
  <si>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</si>
  <si>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</si>
  <si>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</si>
  <si>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</si>
  <si>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</si>
  <si>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</si>
  <si>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</si>
  <si>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</si>
  <si>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</si>
  <si>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</si>
  <si>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</si>
  <si>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</si>
  <si>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</si>
  <si>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</si>
  <si>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</si>
  <si>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</si>
  <si>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</si>
  <si>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</si>
  <si>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</si>
  <si>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</si>
  <si>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</si>
  <si>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</si>
  <si>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</si>
  <si>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</si>
  <si>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</si>
  <si>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</si>
  <si>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</si>
  <si>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</si>
  <si>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</si>
  <si>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</si>
  <si>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</si>
  <si>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</si>
  <si>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</si>
  <si>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</si>
  <si>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</si>
  <si>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</si>
  <si>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</si>
  <si>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</si>
  <si>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</si>
  <si>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</si>
  <si>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</si>
  <si>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</si>
  <si>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</si>
  <si>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</si>
  <si>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</si>
  <si>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</si>
  <si>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</si>
  <si>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</si>
  <si>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</si>
  <si>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</si>
  <si>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</si>
  <si>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</si>
  <si>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</si>
  <si>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</si>
  <si>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</si>
  <si>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</si>
  <si>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</si>
  <si>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</si>
  <si>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</si>
  <si>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</si>
  <si>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</si>
  <si>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</si>
  <si>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</si>
  <si>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</si>
  <si>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</si>
  <si>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</si>
  <si>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</si>
  <si>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</si>
  <si>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</si>
  <si>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</si>
  <si>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</si>
  <si>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</si>
  <si>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</si>
  <si>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</si>
  <si>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</si>
  <si>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</si>
  <si>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</si>
  <si>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</si>
  <si>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</si>
  <si>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</si>
  <si>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</si>
  <si>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</si>
  <si>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</si>
  <si>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</si>
  <si>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</si>
  <si>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</si>
  <si>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</si>
  <si>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</si>
  <si>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</si>
  <si>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</si>
  <si>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</si>
  <si>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</si>
  <si>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</si>
  <si>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</si>
  <si>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</si>
  <si>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</si>
  <si>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</si>
  <si>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</si>
  <si>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</si>
  <si>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</si>
  <si>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</si>
  <si>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</si>
  <si>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</si>
  <si>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</si>
  <si>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</si>
  <si>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</si>
  <si>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</si>
  <si>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</si>
  <si>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</si>
  <si>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</si>
  <si>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</si>
  <si>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</si>
  <si>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</si>
  <si>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</si>
  <si>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</si>
  <si>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</si>
  <si>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</si>
  <si>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</si>
  <si>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</si>
  <si>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</si>
  <si>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</si>
  <si>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</si>
  <si>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</si>
  <si>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</si>
  <si>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</si>
  <si>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</si>
  <si>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</si>
  <si>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</si>
  <si>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</si>
  <si>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</si>
  <si>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</si>
  <si>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</si>
  <si>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</si>
  <si>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</si>
  <si>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</si>
  <si>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</si>
  <si>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</si>
  <si>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</si>
  <si>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</si>
  <si>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</si>
  <si>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</si>
  <si>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</si>
  <si>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</si>
  <si>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</si>
  <si>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</si>
  <si>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</si>
  <si>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</si>
  <si>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</si>
  <si>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</si>
  <si>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</si>
  <si>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</si>
  <si>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</si>
  <si>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</si>
  <si>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</si>
  <si>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</si>
  <si>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</si>
  <si>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</si>
  <si>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</si>
  <si>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</si>
  <si>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</si>
  <si>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</si>
  <si>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</si>
  <si>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</si>
  <si>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</si>
  <si>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</si>
  <si>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</si>
  <si>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</si>
  <si>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</si>
  <si>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</si>
  <si>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</si>
  <si>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</si>
  <si>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</si>
  <si>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</si>
  <si>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</si>
  <si>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</si>
  <si>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</si>
  <si>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</si>
  <si>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</si>
  <si>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</si>
  <si>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</si>
  <si>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</si>
  <si>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</si>
  <si>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</si>
  <si>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</si>
  <si>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</si>
  <si>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</si>
  <si>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</si>
  <si>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</si>
  <si>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</si>
  <si>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</si>
  <si>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</si>
  <si>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</si>
  <si>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</si>
  <si>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</si>
  <si>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</si>
  <si>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</si>
  <si>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</si>
  <si>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</si>
  <si>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</si>
  <si>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</si>
  <si>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</si>
  <si>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</si>
  <si>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</si>
  <si>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</si>
  <si>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</si>
  <si>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</si>
  <si>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</si>
  <si>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</si>
  <si>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</si>
  <si>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</si>
  <si>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</si>
  <si>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</si>
  <si>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</si>
  <si>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</si>
  <si>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</si>
  <si>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</si>
  <si>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</si>
  <si>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</si>
  <si>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</si>
  <si>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</si>
  <si>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</si>
  <si>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</si>
  <si>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</si>
  <si>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</si>
  <si>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</si>
  <si>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</si>
  <si>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</si>
  <si>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</si>
  <si>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</si>
  <si>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</si>
  <si>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</si>
  <si>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</si>
  <si>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</si>
  <si>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</si>
  <si>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</si>
  <si>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</si>
  <si>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</si>
  <si>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</si>
  <si>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</si>
  <si>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</si>
  <si>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</si>
  <si>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</si>
  <si>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</si>
  <si>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</si>
  <si>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</si>
  <si>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</si>
  <si>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</si>
  <si>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</si>
  <si>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</si>
  <si>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</si>
  <si>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</si>
  <si>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</si>
  <si>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</si>
  <si>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</si>
  <si>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</si>
  <si>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</si>
  <si>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</si>
  <si>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</si>
  <si>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</si>
  <si>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</si>
  <si>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</si>
  <si>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</si>
  <si>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</si>
  <si>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</si>
  <si>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</si>
  <si>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</si>
  <si>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</si>
  <si>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</si>
  <si>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</si>
  <si>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</si>
  <si>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</si>
  <si>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</si>
  <si>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</si>
  <si>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</si>
  <si>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</si>
  <si>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</si>
  <si>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</si>
  <si>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</si>
  <si>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</si>
  <si>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</si>
  <si>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</si>
  <si>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</si>
  <si>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</si>
  <si>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</si>
  <si>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</si>
  <si>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</si>
  <si>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</si>
  <si>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</si>
  <si>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</si>
  <si>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</si>
  <si>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</si>
  <si>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</si>
  <si>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</si>
  <si>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</si>
  <si>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</si>
  <si>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</si>
  <si>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</si>
  <si>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</si>
  <si>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</si>
  <si>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</si>
  <si>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</si>
  <si>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</si>
  <si>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</si>
  <si>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</si>
  <si>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</si>
  <si>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</si>
  <si>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</si>
  <si>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</si>
  <si>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</si>
  <si>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</si>
  <si>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</si>
  <si>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</si>
  <si>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</si>
  <si>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</si>
  <si>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</si>
  <si>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</si>
  <si>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</si>
  <si>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</si>
  <si>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</si>
  <si>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</si>
  <si>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</si>
  <si>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</si>
  <si>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</si>
  <si>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</si>
  <si>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</si>
  <si>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</si>
  <si>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</si>
  <si>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</si>
  <si>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</si>
  <si>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</si>
  <si>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</si>
  <si>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</si>
  <si>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</si>
  <si>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</si>
  <si>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</si>
  <si>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</si>
  <si>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</si>
  <si>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</si>
  <si>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</si>
  <si>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</si>
  <si>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</si>
  <si>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</si>
  <si>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</si>
  <si>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</si>
  <si>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</si>
  <si>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</si>
  <si>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</si>
  <si>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</si>
  <si>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</si>
  <si>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</si>
  <si>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</si>
  <si>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</si>
  <si>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</si>
  <si>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</si>
  <si>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</si>
  <si>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</si>
  <si>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</si>
  <si>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</si>
  <si>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</si>
  <si>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</si>
  <si>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</si>
  <si>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</si>
  <si>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</si>
  <si>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</si>
  <si>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</si>
  <si>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</si>
  <si>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</si>
  <si>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</si>
  <si>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</si>
  <si>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</si>
  <si>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</si>
  <si>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</si>
  <si>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</si>
  <si>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</si>
  <si>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</si>
  <si>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</si>
  <si>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</si>
  <si>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</si>
  <si>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</si>
  <si>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</si>
  <si>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</si>
  <si>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</si>
  <si>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</si>
  <si>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</si>
  <si>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</si>
  <si>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</si>
  <si>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</si>
  <si>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</si>
  <si>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</si>
  <si>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</si>
  <si>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</si>
  <si>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</si>
  <si>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</si>
  <si>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</si>
  <si>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</si>
  <si>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</si>
  <si>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</si>
  <si>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</si>
  <si>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</si>
  <si>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</si>
  <si>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</si>
  <si>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</si>
  <si>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</si>
  <si>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</si>
  <si>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</si>
  <si>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</si>
  <si>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</si>
  <si>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</si>
  <si>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</si>
  <si>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</si>
  <si>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</si>
  <si>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</si>
  <si>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</si>
  <si>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</si>
  <si>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</si>
  <si>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</si>
  <si>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</si>
  <si>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</si>
  <si>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</si>
  <si>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</si>
  <si>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</si>
  <si>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</si>
  <si>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</si>
  <si>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</si>
  <si>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</si>
  <si>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</si>
  <si>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</si>
  <si>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</si>
  <si>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</si>
  <si>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</si>
  <si>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</si>
  <si>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</si>
  <si>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</si>
  <si>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</si>
  <si>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</si>
  <si>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</si>
  <si>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</si>
  <si>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</si>
  <si>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</si>
  <si>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</si>
  <si>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</si>
  <si>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</si>
  <si>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</si>
  <si>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</si>
  <si>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</si>
  <si>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</si>
  <si>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</si>
  <si>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</si>
  <si>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</si>
  <si>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</si>
  <si>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</si>
  <si>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</si>
  <si>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</si>
  <si>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</si>
  <si>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</si>
  <si>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</si>
  <si>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</si>
  <si>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</si>
  <si>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</si>
  <si>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</si>
  <si>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</si>
  <si>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</si>
  <si>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</si>
  <si>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</si>
  <si>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</si>
  <si>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</si>
  <si>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</si>
  <si>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</si>
  <si>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</si>
  <si>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</si>
  <si>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</si>
  <si>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</si>
  <si>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</si>
  <si>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</si>
  <si>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</si>
  <si>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</si>
  <si>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</si>
  <si>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</si>
  <si>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</si>
  <si>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</si>
  <si>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</si>
  <si>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</si>
  <si>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</si>
  <si>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</si>
  <si>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</si>
  <si>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</si>
  <si>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</si>
  <si>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</si>
  <si>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</si>
  <si>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</si>
  <si>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</si>
  <si>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</si>
  <si>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</si>
  <si>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</si>
  <si>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</si>
  <si>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</si>
  <si>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</si>
  <si>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</si>
  <si>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</si>
  <si>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</si>
  <si>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</si>
  <si>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</si>
  <si>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</si>
  <si>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</si>
  <si>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</si>
  <si>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</si>
  <si>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</si>
  <si>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</si>
  <si>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</si>
  <si>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</si>
  <si>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</si>
  <si>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</si>
  <si>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</si>
  <si>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</si>
  <si>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</si>
  <si>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</si>
  <si>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</si>
  <si>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</si>
  <si>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</si>
  <si>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</si>
  <si>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</si>
  <si>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</si>
  <si>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</si>
  <si>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</si>
  <si>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</si>
  <si>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</si>
  <si>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</si>
  <si>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</si>
  <si>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</si>
  <si>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</si>
  <si>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</si>
  <si>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</si>
  <si>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</si>
  <si>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</si>
  <si>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</si>
  <si>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</si>
  <si>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</si>
  <si>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</si>
  <si>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</si>
  <si>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</si>
  <si>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</si>
  <si>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</si>
  <si>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</si>
  <si>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</si>
  <si>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</si>
  <si>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</si>
  <si>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</si>
  <si>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</si>
  <si>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</si>
  <si>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</si>
  <si>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</si>
  <si>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</si>
  <si>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</si>
  <si>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</si>
  <si>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</si>
  <si>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</si>
  <si>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</si>
  <si>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</si>
  <si>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</si>
  <si>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</si>
  <si>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</si>
  <si>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</si>
  <si>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</si>
  <si>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</si>
  <si>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</si>
  <si>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</si>
  <si>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</si>
  <si>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</si>
  <si>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</si>
  <si>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</si>
  <si>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</si>
  <si>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</si>
  <si>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</si>
  <si>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</si>
  <si>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</si>
  <si>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</si>
  <si>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</si>
  <si>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</si>
  <si>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</si>
  <si>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</si>
  <si>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</si>
  <si>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</si>
  <si>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</si>
  <si>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</si>
  <si>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</si>
  <si>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</si>
  <si>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</si>
  <si>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</si>
  <si>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</si>
  <si>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</si>
  <si>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</si>
  <si>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</si>
  <si>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</si>
  <si>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</si>
  <si>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</si>
  <si>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</si>
  <si>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</si>
  <si>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</si>
  <si>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</si>
  <si>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</si>
  <si>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</si>
  <si>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</si>
  <si>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</si>
  <si>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</si>
  <si>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</si>
  <si>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</si>
  <si>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</si>
  <si>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</si>
  <si>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</si>
  <si>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</si>
  <si>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</si>
  <si>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</si>
  <si>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</si>
  <si>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</si>
  <si>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</si>
  <si>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</si>
  <si>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</si>
  <si>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</si>
  <si>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</si>
  <si>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</si>
  <si>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</si>
  <si>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PITTSBURG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</si>
</sst>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40" fontId="11" fillId="5" borderId="0" xfId="0" applyNumberFormat="1" applyFont="1" applyFill="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437</v>
      </c>
      <c r="C2" s="21">
        <v>437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186096.66</v>
      </c>
      <c r="G9" s="18">
        <v>4252.2</v>
      </c>
      <c r="H9" s="18"/>
      <c r="I9" s="18"/>
      <c r="J9" s="67">
        <f>SUM(I439)</f>
        <v>497052.75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55778.06</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126038.28</v>
      </c>
      <c r="G13" s="18">
        <v>1179.6099999999999</v>
      </c>
      <c r="H13" s="18">
        <v>66374.42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647.04</v>
      </c>
      <c r="G14" s="18">
        <f>772.98-689.18</f>
        <v>83.800000000000068</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1847.46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368560.04</v>
      </c>
      <c r="G19" s="41">
        <f>SUM(G9:G18)</f>
        <v>7363.07</v>
      </c>
      <c r="H19" s="41">
        <f>SUM(H9:H18)</f>
        <v>66374.42</v>
      </c>
      <c r="I19" s="41">
        <f>SUM(I9:I18)</f>
        <v>0</v>
      </c>
      <c r="J19" s="41">
        <f>SUM(J9:J18)</f>
        <v>497052.75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55778.06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20292.419999999998</v>
      </c>
      <c r="G24" s="18">
        <f>1938.58+499.91</f>
        <v>2438.4899999999998</v>
      </c>
      <c r="H24" s="18">
        <v>4660.6400000000003</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7307.43+545.72+786.74</f>
        <v>8639.8900000000012</v>
      </c>
      <c r="G28" s="18"/>
      <c r="H28" s="18">
        <f>960+130</f>
        <v>1090</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3884.84</v>
      </c>
      <c r="G29" s="18"/>
      <c r="H29" s="18">
        <f>73.44+168+9.95+23.14</f>
        <v>274.52999999999997</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4571.1899999999996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32817.149999999994</v>
      </c>
      <c r="G32" s="41">
        <f>SUM(G22:G31)</f>
        <v>2438.4899999999998</v>
      </c>
      <c r="H32" s="41">
        <f>SUM(H22:H31)</f>
        <v>66374.42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1847.46</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2570.85+55402.94-54207.49-689.18</f>
        <v>3077.1200000000031</v>
      </c>
      <c r="H48" s="18"/>
      <c r="I48" s="18"/>
      <c r="J48" s="13">
        <f>SUM(I459)</f>
        <v>497052.75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335742.89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335742.89</v>
      </c>
      <c r="G51" s="41">
        <f>SUM(G35:G50)</f>
        <v>4924.5800000000036</v>
      </c>
      <c r="H51" s="41">
        <f>SUM(H35:H50)</f>
        <v>0</v>
      </c>
      <c r="I51" s="41">
        <f>SUM(I35:I50)</f>
        <v>0</v>
      </c>
      <c r="J51" s="41">
        <f>SUM(J35:J50)</f>
        <v>497052.75</v>
      </c>
      <c r="K51" s="45" t="s">
        <v>288</v>
      </c>
      <c r="L51" s="45" t="s">
        <v>288</v>
      </c>
      <c r="N51" s="264"/>
    </row>
    <row r="52" spans="1:14" s="3" customFormat="1" ht="12.2" customHeight="1" thickTop="1" x14ac:dyDescent="0.15">
      <c r="A52" s="38" t="s">
        <v>455</v>
      </c>
      <c r="B52" s="39" t="s">
        <v>289</v>
      </c>
      <c r="C52" s="6">
        <v>37</v>
      </c>
      <c r="D52" s="39" t="s">
        <v>653</v>
      </c>
      <c r="E52" s="39"/>
      <c r="F52" s="41">
        <f>F51+F32</f>
        <v>368560.04000000004</v>
      </c>
      <c r="G52" s="41">
        <f>G51+G32</f>
        <v>7363.0700000000033</v>
      </c>
      <c r="H52" s="41">
        <f>H51+H32</f>
        <v>66374.42</v>
      </c>
      <c r="I52" s="41">
        <f>I51+I32</f>
        <v>0</v>
      </c>
      <c r="J52" s="41">
        <f>J51+J32</f>
        <v>497052.75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1515966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1515966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410509.89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410509.89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v>
      </c>
      <c r="G96" s="18"/>
      <c r="H96" s="18"/>
      <c r="I96" s="18"/>
      <c r="J96" s="18">
        <v>11606.64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12402.65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26380.01</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55783.87</v>
      </c>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3626.9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1346.56</v>
      </c>
      <c r="G110" s="18"/>
      <c r="H110" s="18">
        <v>800.97</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87137.34</v>
      </c>
      <c r="G111" s="41">
        <f>SUM(G96:G110)</f>
        <v>12402.65</v>
      </c>
      <c r="H111" s="41">
        <f>SUM(H96:H110)</f>
        <v>800.97</v>
      </c>
      <c r="I111" s="41">
        <f>SUM(I96:I110)</f>
        <v>0</v>
      </c>
      <c r="J111" s="41">
        <f>SUM(J96:J110)</f>
        <v>11606.64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2013613.2300000002</v>
      </c>
      <c r="G112" s="41">
        <f>G60+G111</f>
        <v>12402.65</v>
      </c>
      <c r="H112" s="41">
        <f>H60+H79+H94+H111</f>
        <v>800.97</v>
      </c>
      <c r="I112" s="41">
        <f>I60+I111</f>
        <v>0</v>
      </c>
      <c r="J112" s="41">
        <f>J60+J111</f>
        <v>11606.64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586357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586357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5129.3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3430.75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330.19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583.87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53768</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8890.24</v>
      </c>
      <c r="G136" s="41">
        <f>SUM(G123:G135)</f>
        <v>583.87</v>
      </c>
      <c r="H136" s="41">
        <f>SUM(H123:H135)</f>
        <v>53768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595247.24</v>
      </c>
      <c r="G140" s="41">
        <f>G121+SUM(G136:G137)</f>
        <v>583.87</v>
      </c>
      <c r="H140" s="41">
        <f>H121+SUM(H136:H139)</f>
        <v>53768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2500+22063.26</f>
        <v>24563.26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8741.19+5826.72+2085.79+5919.64+3327.56</f>
        <v>25900.9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20416.419999999998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1565.17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1565.17</v>
      </c>
      <c r="G162" s="41">
        <f>SUM(G150:G161)</f>
        <v>20416.419999999998</v>
      </c>
      <c r="H162" s="41">
        <f>SUM(H150:H161)</f>
        <v>50464.160000000003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1565.17</v>
      </c>
      <c r="G169" s="41">
        <f>G147+G162+SUM(G163:G168)</f>
        <v>20416.419999999998</v>
      </c>
      <c r="H169" s="41">
        <f>H147+H162+SUM(H163:H168)</f>
        <v>50464.160000000003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22000</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22000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f>50277+70124.04</f>
        <v>120401.04</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120401.04</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120401.04</v>
      </c>
      <c r="G192" s="41">
        <f>G183+SUM(G188:G191)</f>
        <v>22000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2730826.68</v>
      </c>
      <c r="G193" s="47">
        <f>G112+G140+G169+G192</f>
        <v>55402.94</v>
      </c>
      <c r="H193" s="47">
        <f>H112+H140+H169+H192</f>
        <v>105033.13</v>
      </c>
      <c r="I193" s="47">
        <f>I112+I140+I169+I192</f>
        <v>0</v>
      </c>
      <c r="J193" s="47">
        <f>J112+J140+J192</f>
        <v>11606.64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379344.01</v>
      </c>
      <c r="G197" s="18">
        <v>226649.76</v>
      </c>
      <c r="H197" s="18">
        <f>22506.13+672.6+1338.5</f>
        <v>24517.23</v>
      </c>
      <c r="I197" s="18">
        <v>24063.71</v>
      </c>
      <c r="J197" s="18">
        <v>3001.2</v>
      </c>
      <c r="K197" s="18">
        <v>725.95</v>
      </c>
      <c r="L197" s="19">
        <f>SUM(F197:K197)</f>
        <v>658301.85999999987</v>
      </c>
      <c r="M197" s="8"/>
      <c r="N197" s="266"/>
    </row>
    <row r="198" spans="1:14" s="3" customFormat="1" ht="12.2" customHeight="1" x14ac:dyDescent="0.15">
      <c r="A198" s="1" t="s">
        <v>439</v>
      </c>
      <c r="B198" s="2" t="s">
        <v>341</v>
      </c>
      <c r="C198" s="2" t="s">
        <v>291</v>
      </c>
      <c r="D198" s="2" t="s">
        <v>431</v>
      </c>
      <c r="E198" s="6">
        <v>1200</v>
      </c>
      <c r="F198" s="18">
        <v>81932.33</v>
      </c>
      <c r="G198" s="18">
        <v>18109.66</v>
      </c>
      <c r="H198" s="18">
        <v>55.5</v>
      </c>
      <c r="I198" s="18">
        <v>82.3</v>
      </c>
      <c r="J198" s="18"/>
      <c r="K198" s="18">
        <v>48.2</v>
      </c>
      <c r="L198" s="19">
        <f>SUM(F198:K198)</f>
        <v>100227.99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11309</v>
      </c>
      <c r="G200" s="18">
        <v>2070.98</v>
      </c>
      <c r="H200" s="18">
        <v>2854.31</v>
      </c>
      <c r="I200" s="18"/>
      <c r="J200" s="18"/>
      <c r="K200" s="18">
        <v>1669.95</v>
      </c>
      <c r="L200" s="19">
        <f>SUM(F200:K200)</f>
        <v>17904.239999999998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49230.64</v>
      </c>
      <c r="G202" s="18">
        <v>20159.009999999998</v>
      </c>
      <c r="H202" s="18">
        <f>60779.64+408</f>
        <v>61187.64</v>
      </c>
      <c r="I202" s="18">
        <v>1075.8499999999999</v>
      </c>
      <c r="J202" s="18">
        <v>285</v>
      </c>
      <c r="K202" s="18">
        <v>2644.69</v>
      </c>
      <c r="L202" s="19">
        <f t="shared" ref="L202:L208" si="0">SUM(F202:K202)</f>
        <v>134582.82999999999</v>
      </c>
      <c r="M202" s="8"/>
      <c r="N202" s="266"/>
    </row>
    <row r="203" spans="1:14" s="3" customFormat="1" ht="12.2" customHeight="1" x14ac:dyDescent="0.15">
      <c r="A203" s="1" t="s">
        <v>443</v>
      </c>
      <c r="B203" s="2" t="s">
        <v>341</v>
      </c>
      <c r="C203" s="2" t="s">
        <v>295</v>
      </c>
      <c r="D203" s="2" t="s">
        <v>431</v>
      </c>
      <c r="E203" s="6">
        <v>2200</v>
      </c>
      <c r="F203" s="18">
        <v>22827.599999999999</v>
      </c>
      <c r="G203" s="18">
        <v>10667.22</v>
      </c>
      <c r="H203" s="18"/>
      <c r="I203" s="18">
        <v>2327.13</v>
      </c>
      <c r="J203" s="18">
        <f>1291.62+3584.7</f>
        <v>4876.32</v>
      </c>
      <c r="K203" s="18"/>
      <c r="L203" s="19">
        <f t="shared" si="0"/>
        <v>40698.269999999997</v>
      </c>
      <c r="M203" s="8"/>
      <c r="N203" s="266"/>
    </row>
    <row r="204" spans="1:14" s="3" customFormat="1" ht="12.2" customHeight="1" x14ac:dyDescent="0.15">
      <c r="A204" s="1" t="s">
        <v>444</v>
      </c>
      <c r="B204" s="2" t="s">
        <v>341</v>
      </c>
      <c r="C204" s="2" t="s">
        <v>296</v>
      </c>
      <c r="D204" s="2" t="s">
        <v>431</v>
      </c>
      <c r="E204" s="6">
        <v>2300</v>
      </c>
      <c r="F204" s="18">
        <v>1722.5</v>
      </c>
      <c r="G204" s="18">
        <v>140.05000000000001</v>
      </c>
      <c r="H204" s="18">
        <f>202808.38+4034.54</f>
        <v>206842.92</v>
      </c>
      <c r="I204" s="18">
        <v>616.1</v>
      </c>
      <c r="J204" s="18"/>
      <c r="K204" s="18">
        <v>3815.79</v>
      </c>
      <c r="L204" s="19">
        <f t="shared" si="0"/>
        <v>213137.36000000002</v>
      </c>
      <c r="M204" s="8"/>
      <c r="N204" s="266"/>
    </row>
    <row r="205" spans="1:14" s="3" customFormat="1" ht="12.2" customHeight="1" x14ac:dyDescent="0.15">
      <c r="A205" s="1" t="s">
        <v>445</v>
      </c>
      <c r="B205" s="2" t="s">
        <v>341</v>
      </c>
      <c r="C205" s="2" t="s">
        <v>297</v>
      </c>
      <c r="D205" s="2" t="s">
        <v>431</v>
      </c>
      <c r="E205" s="6">
        <v>2400</v>
      </c>
      <c r="F205" s="18">
        <v>66773.350000000006</v>
      </c>
      <c r="G205" s="18">
        <v>24625.73</v>
      </c>
      <c r="H205" s="18">
        <f>164.74+5005.61</f>
        <v>5170.3499999999995</v>
      </c>
      <c r="I205" s="18">
        <v>2235.2199999999998</v>
      </c>
      <c r="J205" s="18"/>
      <c r="K205" s="18">
        <v>609.94000000000005</v>
      </c>
      <c r="L205" s="19">
        <f t="shared" si="0"/>
        <v>99414.590000000011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41148.639999999999</v>
      </c>
      <c r="G207" s="18">
        <v>21172.35</v>
      </c>
      <c r="H207" s="18">
        <f>28165.4+27861.43+9484.77</f>
        <v>65511.600000000006</v>
      </c>
      <c r="I207" s="18">
        <v>66092.67</v>
      </c>
      <c r="J207" s="18">
        <v>9237.14</v>
      </c>
      <c r="K207" s="18">
        <v>1139.1099999999999</v>
      </c>
      <c r="L207" s="19">
        <f t="shared" si="0"/>
        <v>204301.51</v>
      </c>
      <c r="M207" s="8"/>
      <c r="N207" s="266"/>
    </row>
    <row r="208" spans="1:14" s="3" customFormat="1" ht="12.2" customHeight="1" x14ac:dyDescent="0.15">
      <c r="A208" s="1" t="s">
        <v>448</v>
      </c>
      <c r="B208" s="2" t="s">
        <v>341</v>
      </c>
      <c r="C208" s="2" t="s">
        <v>300</v>
      </c>
      <c r="D208" s="2" t="s">
        <v>431</v>
      </c>
      <c r="E208" s="6">
        <v>2700</v>
      </c>
      <c r="F208" s="18">
        <v>27462.51</v>
      </c>
      <c r="G208" s="18">
        <v>3915.5</v>
      </c>
      <c r="H208" s="18">
        <f>9374.02+3940.58</f>
        <v>13314.6</v>
      </c>
      <c r="I208" s="18">
        <v>10689.63</v>
      </c>
      <c r="J208" s="18">
        <v>102146.8</v>
      </c>
      <c r="K208" s="18">
        <v>594.51</v>
      </c>
      <c r="L208" s="19">
        <f t="shared" si="0"/>
        <v>158123.55000000002</v>
      </c>
      <c r="M208" s="8"/>
      <c r="N208" s="266"/>
    </row>
    <row r="209" spans="1:14" s="3" customFormat="1" ht="12.2" customHeight="1" x14ac:dyDescent="0.15">
      <c r="A209" s="1" t="s">
        <v>449</v>
      </c>
      <c r="B209" s="2" t="s">
        <v>341</v>
      </c>
      <c r="C209" s="2" t="s">
        <v>343</v>
      </c>
      <c r="D209" s="2" t="s">
        <v>431</v>
      </c>
      <c r="E209" s="6">
        <v>2800</v>
      </c>
      <c r="F209" s="18"/>
      <c r="G209" s="18"/>
      <c r="H209" s="18">
        <v>3722.58</v>
      </c>
      <c r="I209" s="18"/>
      <c r="J209" s="18"/>
      <c r="K209" s="18"/>
      <c r="L209" s="19">
        <f>SUM(F209:K209)</f>
        <v>3722.58</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681750.58000000007</v>
      </c>
      <c r="G211" s="41">
        <f t="shared" si="1"/>
        <v>327510.25999999995</v>
      </c>
      <c r="H211" s="41">
        <f t="shared" si="1"/>
        <v>383176.72999999992</v>
      </c>
      <c r="I211" s="41">
        <f t="shared" si="1"/>
        <v>107182.61</v>
      </c>
      <c r="J211" s="41">
        <f t="shared" si="1"/>
        <v>119546.46</v>
      </c>
      <c r="K211" s="41">
        <f t="shared" si="1"/>
        <v>11248.140000000003</v>
      </c>
      <c r="L211" s="41">
        <f t="shared" si="1"/>
        <v>1630414.78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290227.3</v>
      </c>
      <c r="G233" s="18">
        <v>157242.67000000001</v>
      </c>
      <c r="H233" s="18">
        <f>7178.11+1143.16+607.5</f>
        <v>8928.77</v>
      </c>
      <c r="I233" s="18">
        <v>11065.94</v>
      </c>
      <c r="J233" s="18">
        <v>2494.66</v>
      </c>
      <c r="K233" s="18">
        <v>272.94</v>
      </c>
      <c r="L233" s="19">
        <f>SUM(F233:K233)</f>
        <v>470232.27999999997</v>
      </c>
      <c r="M233" s="8"/>
      <c r="N233" s="266"/>
    </row>
    <row r="234" spans="1:14" s="3" customFormat="1" ht="12.2" customHeight="1" x14ac:dyDescent="0.15">
      <c r="A234" s="1" t="s">
        <v>439</v>
      </c>
      <c r="B234" s="2" t="s">
        <v>350</v>
      </c>
      <c r="C234" s="2" t="s">
        <v>291</v>
      </c>
      <c r="D234" s="2" t="s">
        <v>431</v>
      </c>
      <c r="E234" s="6">
        <v>1200</v>
      </c>
      <c r="F234" s="18">
        <v>25851.21</v>
      </c>
      <c r="G234" s="18">
        <v>6860.07</v>
      </c>
      <c r="H234" s="18"/>
      <c r="I234" s="18"/>
      <c r="J234" s="18"/>
      <c r="K234" s="18"/>
      <c r="L234" s="19">
        <f>SUM(F234:K234)</f>
        <v>32711.279999999999</v>
      </c>
      <c r="M234" s="8"/>
      <c r="N234" s="266"/>
    </row>
    <row r="235" spans="1:14" s="3" customFormat="1" ht="12.2" customHeight="1" x14ac:dyDescent="0.15">
      <c r="A235" s="1" t="s">
        <v>440</v>
      </c>
      <c r="B235" s="2" t="s">
        <v>350</v>
      </c>
      <c r="C235" s="2" t="s">
        <v>292</v>
      </c>
      <c r="D235" s="2" t="s">
        <v>431</v>
      </c>
      <c r="E235" s="6">
        <v>1300</v>
      </c>
      <c r="F235" s="18"/>
      <c r="G235" s="18"/>
      <c r="H235" s="18">
        <v>9000</v>
      </c>
      <c r="I235" s="18"/>
      <c r="J235" s="18"/>
      <c r="K235" s="18"/>
      <c r="L235" s="19">
        <f>SUM(F235:K235)</f>
        <v>9000</v>
      </c>
      <c r="M235" s="8"/>
      <c r="N235" s="266"/>
    </row>
    <row r="236" spans="1:14" s="3" customFormat="1" ht="12.2" customHeight="1" x14ac:dyDescent="0.15">
      <c r="A236" s="1" t="s">
        <v>441</v>
      </c>
      <c r="B236" s="2" t="s">
        <v>350</v>
      </c>
      <c r="C236" s="2" t="s">
        <v>293</v>
      </c>
      <c r="D236" s="2" t="s">
        <v>431</v>
      </c>
      <c r="E236" s="6">
        <v>1400</v>
      </c>
      <c r="F236" s="18">
        <v>20349</v>
      </c>
      <c r="G236" s="18">
        <v>3450.6</v>
      </c>
      <c r="H236" s="18">
        <f>23751.25+3070.97</f>
        <v>26822.22</v>
      </c>
      <c r="I236" s="18">
        <v>1567.29</v>
      </c>
      <c r="J236" s="18">
        <v>3455.46</v>
      </c>
      <c r="K236" s="18">
        <v>6890.45</v>
      </c>
      <c r="L236" s="19">
        <f>SUM(F236:K236)</f>
        <v>62535.02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28479.59</v>
      </c>
      <c r="G238" s="18">
        <v>19028.96</v>
      </c>
      <c r="H238" s="18">
        <v>36037.949999999997</v>
      </c>
      <c r="I238" s="18">
        <v>886.65</v>
      </c>
      <c r="J238" s="18">
        <v>1630.76</v>
      </c>
      <c r="K238" s="18">
        <v>1778.26</v>
      </c>
      <c r="L238" s="19">
        <f t="shared" ref="L238:L244" si="4">SUM(F238:K238)</f>
        <v>87842.169999999984</v>
      </c>
      <c r="M238" s="8"/>
      <c r="N238" s="266"/>
    </row>
    <row r="239" spans="1:14" s="3" customFormat="1" ht="12.2" customHeight="1" x14ac:dyDescent="0.15">
      <c r="A239" s="1" t="s">
        <v>443</v>
      </c>
      <c r="B239" s="2" t="s">
        <v>350</v>
      </c>
      <c r="C239" s="2" t="s">
        <v>295</v>
      </c>
      <c r="D239" s="2" t="s">
        <v>431</v>
      </c>
      <c r="E239" s="6">
        <v>2200</v>
      </c>
      <c r="F239" s="18">
        <v>526.4</v>
      </c>
      <c r="G239" s="18">
        <v>1470.96</v>
      </c>
      <c r="H239" s="18">
        <v>3</v>
      </c>
      <c r="I239" s="18">
        <v>1386.05</v>
      </c>
      <c r="J239" s="18"/>
      <c r="K239" s="18">
        <f>199.98+1536.3</f>
        <v>1736.28</v>
      </c>
      <c r="L239" s="19">
        <f t="shared" si="4"/>
        <v>5122.6899999999996</v>
      </c>
      <c r="M239" s="8"/>
      <c r="N239" s="266"/>
    </row>
    <row r="240" spans="1:14" s="3" customFormat="1" ht="12.2" customHeight="1" x14ac:dyDescent="0.15">
      <c r="A240" s="1" t="s">
        <v>444</v>
      </c>
      <c r="B240" s="2" t="s">
        <v>350</v>
      </c>
      <c r="C240" s="2" t="s">
        <v>296</v>
      </c>
      <c r="D240" s="2" t="s">
        <v>431</v>
      </c>
      <c r="E240" s="6">
        <v>2300</v>
      </c>
      <c r="F240" s="18">
        <v>1340.2</v>
      </c>
      <c r="G240" s="18">
        <v>106.17</v>
      </c>
      <c r="H240" s="18">
        <f>87085.9+1732.38</f>
        <v>88818.28</v>
      </c>
      <c r="I240" s="18">
        <v>436.63</v>
      </c>
      <c r="J240" s="18"/>
      <c r="K240" s="18">
        <v>289.11</v>
      </c>
      <c r="L240" s="19">
        <f t="shared" si="4"/>
        <v>90990.39</v>
      </c>
      <c r="M240" s="8"/>
      <c r="N240" s="266"/>
    </row>
    <row r="241" spans="1:14" s="3" customFormat="1" ht="12.2" customHeight="1" x14ac:dyDescent="0.15">
      <c r="A241" s="1" t="s">
        <v>445</v>
      </c>
      <c r="B241" s="2" t="s">
        <v>350</v>
      </c>
      <c r="C241" s="2" t="s">
        <v>297</v>
      </c>
      <c r="D241" s="2" t="s">
        <v>431</v>
      </c>
      <c r="E241" s="6">
        <v>2400</v>
      </c>
      <c r="F241" s="18">
        <v>67039.94</v>
      </c>
      <c r="G241" s="18">
        <v>24795.06</v>
      </c>
      <c r="H241" s="18">
        <f>115.18+2228.12</f>
        <v>2343.2999999999997</v>
      </c>
      <c r="I241" s="18">
        <v>1081.44</v>
      </c>
      <c r="J241" s="18"/>
      <c r="K241" s="18">
        <v>261.39999999999998</v>
      </c>
      <c r="L241" s="19">
        <f t="shared" si="4"/>
        <v>95521.14</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40741.75</v>
      </c>
      <c r="G243" s="18">
        <v>20900.919999999998</v>
      </c>
      <c r="H243" s="18">
        <f>14847.21+13893.13+4065.4</f>
        <v>32805.74</v>
      </c>
      <c r="I243" s="18">
        <v>31042.78</v>
      </c>
      <c r="J243" s="18">
        <v>3111.63</v>
      </c>
      <c r="K243" s="18">
        <v>479.64</v>
      </c>
      <c r="L243" s="19">
        <f t="shared" si="4"/>
        <v>129082.46</v>
      </c>
      <c r="M243" s="8"/>
      <c r="N243" s="266"/>
    </row>
    <row r="244" spans="1:14" s="3" customFormat="1" ht="12.2" customHeight="1" x14ac:dyDescent="0.15">
      <c r="A244" s="1" t="s">
        <v>448</v>
      </c>
      <c r="B244" s="2" t="s">
        <v>350</v>
      </c>
      <c r="C244" s="2" t="s">
        <v>300</v>
      </c>
      <c r="D244" s="2" t="s">
        <v>431</v>
      </c>
      <c r="E244" s="6">
        <v>2700</v>
      </c>
      <c r="F244" s="18">
        <v>37018.78</v>
      </c>
      <c r="G244" s="18">
        <v>4423.33</v>
      </c>
      <c r="H244" s="18">
        <f>3950.95+1726.43</f>
        <v>5677.38</v>
      </c>
      <c r="I244" s="18">
        <v>4506.71</v>
      </c>
      <c r="J244" s="18">
        <v>43777.2</v>
      </c>
      <c r="K244" s="18">
        <v>254.79</v>
      </c>
      <c r="L244" s="19">
        <f t="shared" si="4"/>
        <v>95658.189999999988</v>
      </c>
      <c r="M244" s="8"/>
      <c r="N244" s="266"/>
    </row>
    <row r="245" spans="1:14" s="3" customFormat="1" ht="12.2" customHeight="1" x14ac:dyDescent="0.15">
      <c r="A245" s="1" t="s">
        <v>449</v>
      </c>
      <c r="B245" s="2" t="s">
        <v>350</v>
      </c>
      <c r="C245" s="2" t="s">
        <v>343</v>
      </c>
      <c r="D245" s="2" t="s">
        <v>431</v>
      </c>
      <c r="E245" s="6">
        <v>2800</v>
      </c>
      <c r="F245" s="18"/>
      <c r="G245" s="18"/>
      <c r="H245" s="18">
        <v>2028.78</v>
      </c>
      <c r="I245" s="18"/>
      <c r="J245" s="18"/>
      <c r="K245" s="18"/>
      <c r="L245" s="19">
        <f>SUM(F245:K245)</f>
        <v>2028.78</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511574.17000000004</v>
      </c>
      <c r="G247" s="41">
        <f t="shared" si="5"/>
        <v>238278.74000000002</v>
      </c>
      <c r="H247" s="41">
        <f t="shared" si="5"/>
        <v>212465.41999999998</v>
      </c>
      <c r="I247" s="41">
        <f t="shared" si="5"/>
        <v>51973.49</v>
      </c>
      <c r="J247" s="41">
        <f t="shared" si="5"/>
        <v>54469.71</v>
      </c>
      <c r="K247" s="41">
        <f t="shared" si="5"/>
        <v>11962.87</v>
      </c>
      <c r="L247" s="41">
        <f t="shared" si="5"/>
        <v>1080724.3999999999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50277</v>
      </c>
      <c r="I255" s="18"/>
      <c r="J255" s="18"/>
      <c r="K255" s="18"/>
      <c r="L255" s="19">
        <f t="shared" si="6"/>
        <v>50277</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50277</v>
      </c>
      <c r="I256" s="41">
        <f t="shared" si="7"/>
        <v>0</v>
      </c>
      <c r="J256" s="41">
        <f t="shared" si="7"/>
        <v>0</v>
      </c>
      <c r="K256" s="41">
        <f t="shared" si="7"/>
        <v>0</v>
      </c>
      <c r="L256" s="41">
        <f>SUM(F256:K256)</f>
        <v>50277</v>
      </c>
      <c r="M256" s="8"/>
      <c r="N256" s="266"/>
    </row>
    <row r="257" spans="1:14" s="3" customFormat="1" ht="12.2" customHeight="1" thickTop="1" x14ac:dyDescent="0.15">
      <c r="A257" s="38" t="s">
        <v>462</v>
      </c>
      <c r="B257" s="40">
        <v>10</v>
      </c>
      <c r="C257" s="40">
        <v>8</v>
      </c>
      <c r="D257" s="39" t="s">
        <v>431</v>
      </c>
      <c r="E257" s="40"/>
      <c r="F257" s="41">
        <f t="shared" ref="F257:L257" si="8">F211+F229+F247+F256</f>
        <v>1193324.75</v>
      </c>
      <c r="G257" s="41">
        <f t="shared" si="8"/>
        <v>565789</v>
      </c>
      <c r="H257" s="41">
        <f t="shared" si="8"/>
        <v>645919.14999999991</v>
      </c>
      <c r="I257" s="41">
        <f t="shared" si="8"/>
        <v>159156.1</v>
      </c>
      <c r="J257" s="41">
        <f t="shared" si="8"/>
        <v>174016.17</v>
      </c>
      <c r="K257" s="41">
        <f t="shared" si="8"/>
        <v>23211.010000000002</v>
      </c>
      <c r="L257" s="41">
        <f t="shared" si="8"/>
        <v>2761416.1799999997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f>15400+6600</f>
        <v>22000</v>
      </c>
      <c r="L263" s="19">
        <f>SUM(F263:K263)</f>
        <v>22000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22000</v>
      </c>
      <c r="L270" s="41">
        <f t="shared" si="9"/>
        <v>22000</v>
      </c>
      <c r="N270" s="264"/>
    </row>
    <row r="271" spans="1:14" s="3" customFormat="1" ht="12.2" customHeight="1" thickTop="1" x14ac:dyDescent="0.2">
      <c r="A271" s="43" t="s">
        <v>464</v>
      </c>
      <c r="B271" s="40">
        <v>10</v>
      </c>
      <c r="C271" s="40">
        <v>18</v>
      </c>
      <c r="D271" s="39" t="s">
        <v>431</v>
      </c>
      <c r="E271" s="40"/>
      <c r="F271" s="42">
        <f t="shared" ref="F271:L271" si="11">F257+F270</f>
        <v>1193324.75</v>
      </c>
      <c r="G271" s="42">
        <f t="shared" si="11"/>
        <v>565789</v>
      </c>
      <c r="H271" s="42">
        <f t="shared" si="11"/>
        <v>645919.14999999991</v>
      </c>
      <c r="I271" s="42">
        <f t="shared" si="11"/>
        <v>159156.1</v>
      </c>
      <c r="J271" s="42">
        <f t="shared" si="11"/>
        <v>174016.17</v>
      </c>
      <c r="K271" s="42">
        <f t="shared" si="11"/>
        <v>45211.01</v>
      </c>
      <c r="L271" s="42">
        <f t="shared" si="11"/>
        <v>2783416.1799999997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9244.02</v>
      </c>
      <c r="G276" s="18">
        <v>707.19</v>
      </c>
      <c r="H276" s="18">
        <f>11163.05+306</f>
        <v>11469.05</v>
      </c>
      <c r="I276" s="18"/>
      <c r="J276" s="18"/>
      <c r="K276" s="18"/>
      <c r="L276" s="19">
        <f>SUM(F276:K276)</f>
        <v>21420.260000000002</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v>100</v>
      </c>
      <c r="L281" s="19">
        <f t="shared" ref="L281:L287" si="12">SUM(F281:K281)</f>
        <v>100</v>
      </c>
      <c r="M281" s="8"/>
      <c r="N281" s="266"/>
    </row>
    <row r="282" spans="1:14" s="3" customFormat="1" ht="12.2" customHeight="1" x14ac:dyDescent="0.15">
      <c r="A282" s="1" t="s">
        <v>443</v>
      </c>
      <c r="B282" s="2" t="s">
        <v>357</v>
      </c>
      <c r="C282" s="2" t="s">
        <v>295</v>
      </c>
      <c r="D282" s="2" t="s">
        <v>431</v>
      </c>
      <c r="E282" s="6">
        <v>2200</v>
      </c>
      <c r="F282" s="18">
        <v>1960</v>
      </c>
      <c r="G282" s="18">
        <v>468.32</v>
      </c>
      <c r="H282" s="18">
        <f>2800+2399.75</f>
        <v>5199.75</v>
      </c>
      <c r="I282" s="18"/>
      <c r="J282" s="18"/>
      <c r="K282" s="18">
        <v>1719.38</v>
      </c>
      <c r="L282" s="19">
        <f t="shared" si="12"/>
        <v>9347.4500000000007</v>
      </c>
      <c r="M282" s="8"/>
      <c r="N282" s="266"/>
    </row>
    <row r="283" spans="1:14" s="3" customFormat="1" ht="12.2" customHeight="1" x14ac:dyDescent="0.15">
      <c r="A283" s="1" t="s">
        <v>444</v>
      </c>
      <c r="B283" s="2" t="s">
        <v>357</v>
      </c>
      <c r="C283" s="2" t="s">
        <v>296</v>
      </c>
      <c r="D283" s="2" t="s">
        <v>431</v>
      </c>
      <c r="E283" s="6">
        <v>2300</v>
      </c>
      <c r="F283" s="18"/>
      <c r="G283" s="18"/>
      <c r="H283" s="18">
        <v>3043</v>
      </c>
      <c r="I283" s="18"/>
      <c r="J283" s="18"/>
      <c r="K283" s="18"/>
      <c r="L283" s="19">
        <f t="shared" si="12"/>
        <v>3043</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38510.68</v>
      </c>
      <c r="I286" s="18"/>
      <c r="J286" s="18"/>
      <c r="K286" s="18"/>
      <c r="L286" s="19">
        <f t="shared" si="12"/>
        <v>38510.68</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11204.02</v>
      </c>
      <c r="G290" s="42">
        <f t="shared" si="13"/>
        <v>1175.51</v>
      </c>
      <c r="H290" s="42">
        <f t="shared" si="13"/>
        <v>58222.479999999996</v>
      </c>
      <c r="I290" s="42">
        <f t="shared" si="13"/>
        <v>0</v>
      </c>
      <c r="J290" s="42">
        <f t="shared" si="13"/>
        <v>0</v>
      </c>
      <c r="K290" s="42">
        <f t="shared" si="13"/>
        <v>1819.38</v>
      </c>
      <c r="L290" s="41">
        <f t="shared" si="13"/>
        <v>72421.390000000014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v>800.97</v>
      </c>
      <c r="K314" s="18"/>
      <c r="L314" s="19">
        <f>SUM(F314:K314)</f>
        <v>800.97</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4230</v>
      </c>
      <c r="G320" s="18">
        <v>1050.54</v>
      </c>
      <c r="H320" s="18">
        <v>3638.54</v>
      </c>
      <c r="I320" s="18"/>
      <c r="J320" s="18"/>
      <c r="K320" s="18">
        <v>7634.37</v>
      </c>
      <c r="L320" s="19">
        <f t="shared" si="16"/>
        <v>16553.45</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v>15257.32</v>
      </c>
      <c r="I324" s="18"/>
      <c r="J324" s="18"/>
      <c r="K324" s="18"/>
      <c r="L324" s="19">
        <f t="shared" si="16"/>
        <v>15257.32</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4230</v>
      </c>
      <c r="G328" s="42">
        <f t="shared" si="17"/>
        <v>1050.54</v>
      </c>
      <c r="H328" s="42">
        <f t="shared" si="17"/>
        <v>18895.86</v>
      </c>
      <c r="I328" s="42">
        <f t="shared" si="17"/>
        <v>0</v>
      </c>
      <c r="J328" s="42">
        <f t="shared" si="17"/>
        <v>800.97</v>
      </c>
      <c r="K328" s="42">
        <f t="shared" si="17"/>
        <v>7634.37</v>
      </c>
      <c r="L328" s="41">
        <f t="shared" si="17"/>
        <v>32611.74</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15434.02</v>
      </c>
      <c r="G338" s="41">
        <f t="shared" si="20"/>
        <v>2226.0500000000002</v>
      </c>
      <c r="H338" s="41">
        <f t="shared" si="20"/>
        <v>77118.34</v>
      </c>
      <c r="I338" s="41">
        <f t="shared" si="20"/>
        <v>0</v>
      </c>
      <c r="J338" s="41">
        <f t="shared" si="20"/>
        <v>800.97</v>
      </c>
      <c r="K338" s="41">
        <f t="shared" si="20"/>
        <v>9453.75</v>
      </c>
      <c r="L338" s="41">
        <f t="shared" si="20"/>
        <v>105033.13000000002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15434.02</v>
      </c>
      <c r="G352" s="41">
        <f>G338</f>
        <v>2226.0500000000002</v>
      </c>
      <c r="H352" s="41">
        <f>H338</f>
        <v>77118.34</v>
      </c>
      <c r="I352" s="41">
        <f>I338</f>
        <v>0</v>
      </c>
      <c r="J352" s="41">
        <f>J338</f>
        <v>800.97</v>
      </c>
      <c r="K352" s="47">
        <f>K338+K351</f>
        <v>9453.75</v>
      </c>
      <c r="L352" s="41">
        <f>L338+L351</f>
        <v>105033.13000000002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927.33+36417.31+482.43</f>
        <v>37827.07</v>
      </c>
      <c r="I358" s="18">
        <f>92.46+480.4</f>
        <v>572.86</v>
      </c>
      <c r="J358" s="18"/>
      <c r="K358" s="18"/>
      <c r="L358" s="13">
        <f>SUM(F358:K358)</f>
        <v>38399.93</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f>397.43+15607.42+206.75</f>
        <v>16211.6</v>
      </c>
      <c r="I360" s="18">
        <f>39.63+245.51</f>
        <v>285.14</v>
      </c>
      <c r="J360" s="18"/>
      <c r="K360" s="18"/>
      <c r="L360" s="19">
        <f>SUM(F360:K360)</f>
        <v>16496.740000000002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54038.67</v>
      </c>
      <c r="I362" s="47">
        <f t="shared" si="22"/>
        <v>858</v>
      </c>
      <c r="J362" s="47">
        <f t="shared" si="22"/>
        <v>0</v>
      </c>
      <c r="K362" s="47">
        <f t="shared" si="22"/>
        <v>0</v>
      </c>
      <c r="L362" s="47">
        <f t="shared" si="22"/>
        <v>54896.67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572.86</v>
      </c>
      <c r="G368" s="63"/>
      <c r="H368" s="63">
        <v>285.14</v>
      </c>
      <c r="I368" s="56">
        <f>SUM(F368:H368)</f>
        <v>858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572.86</v>
      </c>
      <c r="G369" s="47">
        <f>SUM(G367:G368)</f>
        <v>0</v>
      </c>
      <c r="H369" s="47">
        <f>SUM(H367:H368)</f>
        <v>285.14</v>
      </c>
      <c r="I369" s="47">
        <f>SUM(I367:I368)</f>
        <v>858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f>628.58+80.72+1741.04</f>
        <v>2450.34</v>
      </c>
      <c r="I396" s="18"/>
      <c r="J396" s="24" t="s">
        <v>288</v>
      </c>
      <c r="K396" s="24" t="s">
        <v>288</v>
      </c>
      <c r="L396" s="56">
        <f t="shared" si="26"/>
        <v>2450.34</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v>2082</v>
      </c>
      <c r="I398" s="18"/>
      <c r="J398" s="24" t="s">
        <v>288</v>
      </c>
      <c r="K398" s="24" t="s">
        <v>288</v>
      </c>
      <c r="L398" s="56">
        <f t="shared" si="26"/>
        <v>2082</v>
      </c>
      <c r="M398" s="8"/>
      <c r="N398" s="266"/>
    </row>
    <row r="399" spans="1:14" s="3" customFormat="1" ht="12.2" customHeight="1" x14ac:dyDescent="0.15">
      <c r="A399" s="79" t="s">
        <v>559</v>
      </c>
      <c r="B399" s="2" t="s">
        <v>381</v>
      </c>
      <c r="C399" s="6">
        <v>12</v>
      </c>
      <c r="D399" s="2" t="s">
        <v>432</v>
      </c>
      <c r="E399" s="6"/>
      <c r="F399" s="18"/>
      <c r="G399" s="18"/>
      <c r="H399" s="18">
        <v>337.61</v>
      </c>
      <c r="I399" s="18"/>
      <c r="J399" s="24" t="s">
        <v>288</v>
      </c>
      <c r="K399" s="24" t="s">
        <v>288</v>
      </c>
      <c r="L399" s="56">
        <f t="shared" si="26"/>
        <v>337.61</v>
      </c>
      <c r="M399" s="8"/>
      <c r="N399" s="266"/>
    </row>
    <row r="400" spans="1:14" s="3" customFormat="1" ht="12.2" customHeight="1" thickBot="1" x14ac:dyDescent="0.2">
      <c r="A400" s="79" t="s">
        <v>510</v>
      </c>
      <c r="B400" s="2" t="s">
        <v>381</v>
      </c>
      <c r="C400" s="6">
        <v>13</v>
      </c>
      <c r="D400" s="2" t="s">
        <v>432</v>
      </c>
      <c r="E400" s="6"/>
      <c r="F400" s="18"/>
      <c r="G400" s="18">
        <v>0</v>
      </c>
      <c r="H400" s="18">
        <v>6736.69</v>
      </c>
      <c r="I400" s="18"/>
      <c r="J400" s="24" t="s">
        <v>288</v>
      </c>
      <c r="K400" s="24" t="s">
        <v>288</v>
      </c>
      <c r="L400" s="56">
        <f t="shared" si="26"/>
        <v>6736.69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11606.64</v>
      </c>
      <c r="I401" s="47">
        <f>SUM(I395:I400)</f>
        <v>0</v>
      </c>
      <c r="J401" s="45" t="s">
        <v>288</v>
      </c>
      <c r="K401" s="45" t="s">
        <v>288</v>
      </c>
      <c r="L401" s="47">
        <f>SUM(L395:L400)</f>
        <v>11606.64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11606.64</v>
      </c>
      <c r="I408" s="47">
        <f>I393+I401+I407</f>
        <v>0</v>
      </c>
      <c r="J408" s="24" t="s">
        <v>288</v>
      </c>
      <c r="K408" s="24" t="s">
        <v>288</v>
      </c>
      <c r="L408" s="47">
        <f>L393+L401+L407</f>
        <v>11606.64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f>1528.15+70124</f>
        <v>71652.149999999994</v>
      </c>
      <c r="K426" s="18">
        <v>0</v>
      </c>
      <c r="L426" s="56">
        <f t="shared" si="29"/>
        <v>71652.149999999994</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71652.149999999994</v>
      </c>
      <c r="K427" s="47">
        <f t="shared" si="30"/>
        <v>0</v>
      </c>
      <c r="L427" s="47">
        <f t="shared" si="30"/>
        <v>71652.149999999994</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71652.149999999994</v>
      </c>
      <c r="K434" s="47">
        <f t="shared" si="32"/>
        <v>0</v>
      </c>
      <c r="L434" s="47">
        <f t="shared" si="32"/>
        <v>71652.149999999994</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497052.75</v>
      </c>
      <c r="H439" s="18"/>
      <c r="I439" s="56">
        <f t="shared" ref="I439:I445" si="33">SUM(F439:H439)</f>
        <v>497052.75</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497052.75</v>
      </c>
      <c r="H446" s="13">
        <f>SUM(H439:H445)</f>
        <v>0</v>
      </c>
      <c r="I446" s="13">
        <f>SUM(I439:I445)</f>
        <v>497052.75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497052.75</v>
      </c>
      <c r="H459" s="18"/>
      <c r="I459" s="56">
        <f t="shared" si="34"/>
        <v>497052.75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497052.75</v>
      </c>
      <c r="H460" s="83">
        <f>SUM(H454:H459)</f>
        <v>0</v>
      </c>
      <c r="I460" s="83">
        <f>SUM(I454:I459)</f>
        <v>497052.75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497052.75</v>
      </c>
      <c r="H461" s="42">
        <f>H452+H460</f>
        <v>0</v>
      </c>
      <c r="I461" s="42">
        <f>I452+I460</f>
        <v>497052.75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388168.06</v>
      </c>
      <c r="G465" s="18">
        <v>3927.42</v>
      </c>
      <c r="H465" s="18"/>
      <c r="I465" s="18"/>
      <c r="J465" s="18">
        <v>557098.26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2730826.68</v>
      </c>
      <c r="G468" s="18">
        <v>55402.94</v>
      </c>
      <c r="H468" s="18">
        <v>105033.13</v>
      </c>
      <c r="I468" s="18"/>
      <c r="J468" s="18">
        <v>11606.64</v>
      </c>
      <c r="K468" s="24" t="s">
        <v>288</v>
      </c>
      <c r="L468" s="24" t="s">
        <v>288</v>
      </c>
      <c r="N468" s="265"/>
    </row>
    <row r="469" spans="1:14" s="52" customFormat="1" ht="12.2" customHeight="1" x14ac:dyDescent="0.2">
      <c r="A469" s="93" t="s">
        <v>611</v>
      </c>
      <c r="B469" s="75">
        <v>19</v>
      </c>
      <c r="C469" s="80">
        <v>3</v>
      </c>
      <c r="D469" s="2" t="s">
        <v>432</v>
      </c>
      <c r="E469" s="80"/>
      <c r="F469" s="18">
        <v>164.33</v>
      </c>
      <c r="G469" s="18">
        <v>490.89</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2730991.0100000002</v>
      </c>
      <c r="G470" s="53">
        <f>SUM(G468:G469)</f>
        <v>55893.83</v>
      </c>
      <c r="H470" s="53">
        <f>SUM(H468:H469)</f>
        <v>105033.13</v>
      </c>
      <c r="I470" s="53">
        <f>SUM(I468:I469)</f>
        <v>0</v>
      </c>
      <c r="J470" s="53">
        <f>SUM(J468:J469)</f>
        <v>11606.64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2783416.18</v>
      </c>
      <c r="G472" s="18">
        <v>54896.67</v>
      </c>
      <c r="H472" s="18">
        <v>105033.13</v>
      </c>
      <c r="I472" s="18"/>
      <c r="J472" s="18">
        <f>70124+1528.15</f>
        <v>71652.149999999994</v>
      </c>
      <c r="K472" s="24" t="s">
        <v>288</v>
      </c>
      <c r="L472" s="24" t="s">
        <v>288</v>
      </c>
      <c r="N472" s="265"/>
    </row>
    <row r="473" spans="1:14" s="52" customFormat="1" ht="12.2" customHeight="1" x14ac:dyDescent="0.2">
      <c r="A473" s="93" t="s">
        <v>613</v>
      </c>
      <c r="B473" s="75">
        <v>19</v>
      </c>
      <c r="C473" s="80">
        <v>6</v>
      </c>
      <c r="D473" s="2" t="s">
        <v>432</v>
      </c>
      <c r="E473" s="80"/>
      <c r="F473" s="18">
        <v>0</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2783416.18</v>
      </c>
      <c r="G474" s="53">
        <f>SUM(G472:G473)</f>
        <v>54896.67</v>
      </c>
      <c r="H474" s="53">
        <f>SUM(H472:H473)</f>
        <v>105033.13</v>
      </c>
      <c r="I474" s="53">
        <f>SUM(I472:I473)</f>
        <v>0</v>
      </c>
      <c r="J474" s="53">
        <f>SUM(J472:J473)</f>
        <v>71652.149999999994</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335742.89000000013</v>
      </c>
      <c r="G476" s="53">
        <f>(G465+G470)- G474</f>
        <v>4924.5800000000017</v>
      </c>
      <c r="H476" s="53">
        <f>(H465+H470)- H474</f>
        <v>0</v>
      </c>
      <c r="I476" s="53">
        <f>(I465+I470)- I474</f>
        <v>0</v>
      </c>
      <c r="J476" s="53">
        <f>(J465+J470)- J474</f>
        <v>497052.75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39995.2+37677.53+2009.5+2250.1</f>
        <v>81932.33</v>
      </c>
      <c r="G521" s="18">
        <f>43.51+6400.17+9011.28+154.7+2500</f>
        <v>18109.660000000003</v>
      </c>
      <c r="H521" s="18">
        <v>55.5</v>
      </c>
      <c r="I521" s="18">
        <v>82.3</v>
      </c>
      <c r="J521" s="18"/>
      <c r="K521" s="18">
        <v>48.2</v>
      </c>
      <c r="L521" s="88">
        <f>SUM(F521:K521)</f>
        <v>100227.99</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f>11922.8+13928.41</f>
        <v>25851.21</v>
      </c>
      <c r="G523" s="18">
        <f>12.92+2166.6+2104.57+75.98+2500</f>
        <v>6860.07</v>
      </c>
      <c r="H523" s="18"/>
      <c r="I523" s="18"/>
      <c r="J523" s="18"/>
      <c r="K523" s="18"/>
      <c r="L523" s="88">
        <f>SUM(F523:K523)</f>
        <v>32711.279999999999</v>
      </c>
      <c r="N523" s="265"/>
    </row>
    <row r="524" spans="1:14" s="52" customFormat="1" ht="12.2" customHeight="1" thickTop="1" x14ac:dyDescent="0.2">
      <c r="A524" s="139" t="s">
        <v>63</v>
      </c>
      <c r="B524" s="107">
        <v>21</v>
      </c>
      <c r="C524" s="195">
        <v>4</v>
      </c>
      <c r="D524" s="196" t="s">
        <v>432</v>
      </c>
      <c r="E524" s="195"/>
      <c r="F524" s="108">
        <f>SUM(F521:F523)</f>
        <v>107783.54000000001</v>
      </c>
      <c r="G524" s="108">
        <f t="shared" ref="G524:L524" si="36">SUM(G521:G523)</f>
        <v>24969.730000000003</v>
      </c>
      <c r="H524" s="108">
        <f t="shared" si="36"/>
        <v>55.5</v>
      </c>
      <c r="I524" s="108">
        <f t="shared" si="36"/>
        <v>82.3</v>
      </c>
      <c r="J524" s="108">
        <f t="shared" si="36"/>
        <v>0</v>
      </c>
      <c r="K524" s="108">
        <f t="shared" si="36"/>
        <v>48.2</v>
      </c>
      <c r="L524" s="89">
        <f t="shared" si="36"/>
        <v>132939.27000000002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3451.47+8002.78</f>
        <v>11454.25</v>
      </c>
      <c r="G526" s="18">
        <f>264.04+13.27+75+612.2+14.19</f>
        <v>978.7</v>
      </c>
      <c r="H526" s="18">
        <f>3203.55+7372+1315</f>
        <v>11890.55</v>
      </c>
      <c r="I526" s="18">
        <f>250.67+302.64</f>
        <v>553.30999999999995</v>
      </c>
      <c r="J526" s="18"/>
      <c r="K526" s="18"/>
      <c r="L526" s="88">
        <f>SUM(F526:K526)</f>
        <v>24876.81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v>0.91</v>
      </c>
      <c r="H528" s="18">
        <f>7199+2644.3+15120</f>
        <v>24963.3</v>
      </c>
      <c r="I528" s="18"/>
      <c r="J528" s="18"/>
      <c r="K528" s="18"/>
      <c r="L528" s="88">
        <f>SUM(F528:K528)</f>
        <v>24964.21</v>
      </c>
      <c r="M528" s="8"/>
      <c r="N528" s="266"/>
    </row>
    <row r="529" spans="1:14" s="3" customFormat="1" ht="12.2" customHeight="1" thickTop="1" x14ac:dyDescent="0.15">
      <c r="A529" s="139" t="s">
        <v>65</v>
      </c>
      <c r="B529" s="107">
        <v>21</v>
      </c>
      <c r="C529" s="107">
        <v>8</v>
      </c>
      <c r="D529" s="158" t="s">
        <v>432</v>
      </c>
      <c r="E529" s="107"/>
      <c r="F529" s="89">
        <f>SUM(F526:F528)</f>
        <v>11454.25</v>
      </c>
      <c r="G529" s="89">
        <f t="shared" ref="G529:L529" si="37">SUM(G526:G528)</f>
        <v>979.61</v>
      </c>
      <c r="H529" s="89">
        <f t="shared" si="37"/>
        <v>36853.85</v>
      </c>
      <c r="I529" s="89">
        <f t="shared" si="37"/>
        <v>553.30999999999995</v>
      </c>
      <c r="J529" s="89">
        <f t="shared" si="37"/>
        <v>0</v>
      </c>
      <c r="K529" s="89">
        <f t="shared" si="37"/>
        <v>0</v>
      </c>
      <c r="L529" s="89">
        <f t="shared" si="37"/>
        <v>49841.020000000004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16381</v>
      </c>
      <c r="I531" s="18"/>
      <c r="J531" s="18"/>
      <c r="K531" s="18"/>
      <c r="L531" s="88">
        <f>SUM(F531:K531)</f>
        <v>16381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7359</v>
      </c>
      <c r="I533" s="18"/>
      <c r="J533" s="18"/>
      <c r="K533" s="18"/>
      <c r="L533" s="88">
        <f>SUM(F533:K533)</f>
        <v>7359</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23740</v>
      </c>
      <c r="I534" s="89">
        <f t="shared" si="38"/>
        <v>0</v>
      </c>
      <c r="J534" s="89">
        <f t="shared" si="38"/>
        <v>0</v>
      </c>
      <c r="K534" s="89">
        <f t="shared" si="38"/>
        <v>0</v>
      </c>
      <c r="L534" s="89">
        <f t="shared" si="38"/>
        <v>23740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154</v>
      </c>
      <c r="G541" s="18">
        <v>11.78</v>
      </c>
      <c r="H541" s="18">
        <v>1627.25</v>
      </c>
      <c r="I541" s="18"/>
      <c r="J541" s="18"/>
      <c r="K541" s="18"/>
      <c r="L541" s="88">
        <f>SUM(F541:K541)</f>
        <v>1793.03</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154</v>
      </c>
      <c r="G544" s="193">
        <f t="shared" ref="G544:L544" si="40">SUM(G541:G543)</f>
        <v>11.78</v>
      </c>
      <c r="H544" s="193">
        <f t="shared" si="40"/>
        <v>1627.25</v>
      </c>
      <c r="I544" s="193">
        <f t="shared" si="40"/>
        <v>0</v>
      </c>
      <c r="J544" s="193">
        <f t="shared" si="40"/>
        <v>0</v>
      </c>
      <c r="K544" s="193">
        <f t="shared" si="40"/>
        <v>0</v>
      </c>
      <c r="L544" s="193">
        <f t="shared" si="40"/>
        <v>1793.03</v>
      </c>
      <c r="M544" s="8"/>
      <c r="N544" s="266"/>
    </row>
    <row r="545" spans="1:14" s="3" customFormat="1" ht="12.2" customHeight="1" thickTop="1" x14ac:dyDescent="0.15">
      <c r="A545" s="98" t="s">
        <v>72</v>
      </c>
      <c r="B545" s="107">
        <v>21</v>
      </c>
      <c r="C545" s="107">
        <v>21</v>
      </c>
      <c r="D545" s="158" t="s">
        <v>432</v>
      </c>
      <c r="E545" s="107"/>
      <c r="F545" s="89">
        <f>F524+F529+F534+F539+F544</f>
        <v>119391.79000000001</v>
      </c>
      <c r="G545" s="89">
        <f t="shared" ref="G545:L545" si="41">G524+G529+G534+G539+G544</f>
        <v>25961.120000000003</v>
      </c>
      <c r="H545" s="89">
        <f t="shared" si="41"/>
        <v>62276.6</v>
      </c>
      <c r="I545" s="89">
        <f t="shared" si="41"/>
        <v>635.6099999999999</v>
      </c>
      <c r="J545" s="89">
        <f t="shared" si="41"/>
        <v>0</v>
      </c>
      <c r="K545" s="89">
        <f t="shared" si="41"/>
        <v>48.2</v>
      </c>
      <c r="L545" s="89">
        <f t="shared" si="41"/>
        <v>208313.32000000004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100227.99</v>
      </c>
      <c r="G549" s="87">
        <f>L526</f>
        <v>24876.81</v>
      </c>
      <c r="H549" s="87">
        <f>L531</f>
        <v>16381</v>
      </c>
      <c r="I549" s="87">
        <f>L536</f>
        <v>0</v>
      </c>
      <c r="J549" s="87">
        <f>L541</f>
        <v>1793.03</v>
      </c>
      <c r="K549" s="87">
        <f>SUM(F549:J549)</f>
        <v>143278.82999999999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32711.279999999999</v>
      </c>
      <c r="G551" s="87">
        <f>L528</f>
        <v>24964.21</v>
      </c>
      <c r="H551" s="87">
        <f>L533</f>
        <v>7359</v>
      </c>
      <c r="I551" s="87">
        <f>L538</f>
        <v>0</v>
      </c>
      <c r="J551" s="87">
        <f>L543</f>
        <v>0</v>
      </c>
      <c r="K551" s="87">
        <f>SUM(F551:J551)</f>
        <v>65034.49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132939.27000000002</v>
      </c>
      <c r="G552" s="89">
        <f t="shared" si="42"/>
        <v>49841.020000000004</v>
      </c>
      <c r="H552" s="89">
        <f t="shared" si="42"/>
        <v>23740</v>
      </c>
      <c r="I552" s="89">
        <f t="shared" si="42"/>
        <v>0</v>
      </c>
      <c r="J552" s="89">
        <f t="shared" si="42"/>
        <v>1793.03</v>
      </c>
      <c r="K552" s="89">
        <f t="shared" si="42"/>
        <v>208313.31999999998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9000</v>
      </c>
      <c r="I585" s="87">
        <f t="shared" si="47"/>
        <v>9000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152358.58-114-450</f>
        <v>151794.57999999999</v>
      </c>
      <c r="I591" s="18"/>
      <c r="J591" s="18">
        <f>72950.51-260-3008</f>
        <v>69682.509999999995</v>
      </c>
      <c r="K591" s="104">
        <f t="shared" ref="K591:K597" si="48">SUM(H591:J591)</f>
        <v>221477.08999999997</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1793.03</v>
      </c>
      <c r="I592" s="18"/>
      <c r="J592" s="18"/>
      <c r="K592" s="104">
        <f t="shared" si="48"/>
        <v>1793.03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f>1752.82+450</f>
        <v>2202.8199999999997</v>
      </c>
      <c r="I594" s="18"/>
      <c r="J594" s="18">
        <f>19586.77+3008</f>
        <v>22594.77</v>
      </c>
      <c r="K594" s="104">
        <f t="shared" si="48"/>
        <v>24797.59</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2219.12+114</f>
        <v>2333.12</v>
      </c>
      <c r="I595" s="18"/>
      <c r="J595" s="18">
        <f>3120.91+260</f>
        <v>3380.91</v>
      </c>
      <c r="K595" s="104">
        <f t="shared" si="48"/>
        <v>5714.03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158123.54999999999</v>
      </c>
      <c r="I598" s="108">
        <f>SUM(I591:I597)</f>
        <v>0</v>
      </c>
      <c r="J598" s="108">
        <f>SUM(J591:J597)</f>
        <v>95658.19</v>
      </c>
      <c r="K598" s="108">
        <f>SUM(K591:K597)</f>
        <v>253781.73999999996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119546.46</v>
      </c>
      <c r="I604" s="18"/>
      <c r="J604" s="18">
        <f>800.97+54469.71</f>
        <v>55270.68</v>
      </c>
      <c r="K604" s="104">
        <f>SUM(H604:J604)</f>
        <v>174817.14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119546.46</v>
      </c>
      <c r="I605" s="108">
        <f>SUM(I602:I604)</f>
        <v>0</v>
      </c>
      <c r="J605" s="108">
        <f>SUM(J602:J604)</f>
        <v>55270.68</v>
      </c>
      <c r="K605" s="108">
        <f>SUM(K602:K604)</f>
        <v>174817.14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368560.04</v>
      </c>
      <c r="H617" s="109">
        <f>SUM(F52)</f>
        <v>368560.04000000004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7363.07</v>
      </c>
      <c r="H618" s="109">
        <f>SUM(G52)</f>
        <v>7363.0700000000033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66374.42</v>
      </c>
      <c r="H619" s="109">
        <f>SUM(H52)</f>
        <v>66374.42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497052.75</v>
      </c>
      <c r="H621" s="109">
        <f>SUM(J52)</f>
        <v>497052.75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335742.89</v>
      </c>
      <c r="H622" s="109">
        <f>F476</f>
        <v>335742.89000000013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4924.5800000000036</v>
      </c>
      <c r="H623" s="109">
        <f>G476</f>
        <v>4924.5800000000017</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497052.75</v>
      </c>
      <c r="H626" s="109">
        <f>J476</f>
        <v>497052.75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2730826.68</v>
      </c>
      <c r="H627" s="104">
        <f>SUM(F468)</f>
        <v>2730826.68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55402.94</v>
      </c>
      <c r="H628" s="104">
        <f>SUM(G468)</f>
        <v>55402.94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105033.13</v>
      </c>
      <c r="H629" s="104">
        <f>SUM(H468)</f>
        <v>105033.13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11606.64</v>
      </c>
      <c r="H631" s="104">
        <f>SUM(J468)</f>
        <v>11606.64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2783416.1799999997</v>
      </c>
      <c r="H632" s="104">
        <f>SUM(F472)</f>
        <v>2783416.18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105033.13000000002</v>
      </c>
      <c r="H633" s="104">
        <f>SUM(H472)</f>
        <v>105033.13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858</v>
      </c>
      <c r="H634" s="104">
        <f>I369</f>
        <v>858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54896.67</v>
      </c>
      <c r="H635" s="104">
        <f>SUM(G472)</f>
        <v>54896.67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11606.64</v>
      </c>
      <c r="H637" s="164">
        <f>SUM(J468)</f>
        <v>11606.64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71652.149999999994</v>
      </c>
      <c r="H638" s="164">
        <f>SUM(J472)</f>
        <v>71652.149999999994</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497052.75</v>
      </c>
      <c r="H640" s="104">
        <f>SUM(G461)</f>
        <v>497052.75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497052.75</v>
      </c>
      <c r="H642" s="104">
        <f>SUM(I461)</f>
        <v>497052.75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11606.64</v>
      </c>
      <c r="H644" s="104">
        <f>H408</f>
        <v>11606.64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11606.64</v>
      </c>
      <c r="H646" s="104">
        <f>L408</f>
        <v>11606.64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253781.73999999996</v>
      </c>
      <c r="H647" s="104">
        <f>L208+L226+L244</f>
        <v>253781.74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174817.14</v>
      </c>
      <c r="H648" s="104">
        <f>(J257+J338)-(J255+J336)</f>
        <v>174817.14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158123.55000000002</v>
      </c>
      <c r="H649" s="104">
        <f>H598</f>
        <v>158123.54999999999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95658.189999999988</v>
      </c>
      <c r="H651" s="104">
        <f>J598</f>
        <v>95658.19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22000</v>
      </c>
      <c r="H652" s="104">
        <f>K263+K345</f>
        <v>22000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1741236.0999999999</v>
      </c>
      <c r="G660" s="19">
        <f>(L229+L309+L359)</f>
        <v>0</v>
      </c>
      <c r="H660" s="19">
        <f>(L247+L328+L360)</f>
        <v>1129832.8799999999</v>
      </c>
      <c r="I660" s="19">
        <f>SUM(F660:H660)</f>
        <v>2871068.9799999995</v>
      </c>
      <c r="J660" s="13"/>
      <c r="K660" s="13"/>
      <c r="L660" s="13"/>
      <c r="M660" s="9"/>
    </row>
    <row r="661" spans="1:13" s="3" customFormat="1" ht="12.2" customHeight="1" x14ac:dyDescent="0.2">
      <c r="A661" s="1" t="s">
        <v>127</v>
      </c>
      <c r="F661" s="19">
        <f>(L358/IF(SUM(L358:L360)=0,1,SUM(L358:L360))*(SUM(G97:G110)))</f>
        <v>8675.5880058754028</v>
      </c>
      <c r="G661" s="19">
        <f>(L359/IF(SUM(L358:L360)=0,1,SUM(L358:L360))*(SUM(G97:G110)))</f>
        <v>0</v>
      </c>
      <c r="H661" s="19">
        <f>(L360/IF(SUM(L358:L360)=0,1,SUM(L358:L360))*(SUM(G97:G110)))</f>
        <v>3727.0619941245982</v>
      </c>
      <c r="I661" s="19">
        <f>SUM(F661:H661)</f>
        <v>12402.650000000001</v>
      </c>
      <c r="J661"/>
      <c r="K661" s="13"/>
      <c r="L661" s="13"/>
      <c r="M661" s="9"/>
    </row>
    <row r="662" spans="1:13" s="3" customFormat="1" ht="12.2" customHeight="1" x14ac:dyDescent="0.2">
      <c r="A662" s="1" t="s">
        <v>128</v>
      </c>
      <c r="F662" s="19">
        <f>(L208+L287)-(J208+J287)</f>
        <v>55976.750000000015</v>
      </c>
      <c r="G662" s="19">
        <f>(L226+L306)-(J226+J306)</f>
        <v>0</v>
      </c>
      <c r="H662" s="19">
        <f>(L244+L325)-(J244+J325)</f>
        <v>51880.989999999991</v>
      </c>
      <c r="I662" s="19">
        <f>SUM(F662:H662)</f>
        <v>107857.74</v>
      </c>
      <c r="J662"/>
      <c r="K662" s="13"/>
      <c r="L662" s="13"/>
      <c r="M662" s="8"/>
    </row>
    <row r="663" spans="1:13" s="3" customFormat="1" ht="12.2" customHeight="1" x14ac:dyDescent="0.15">
      <c r="A663" s="198" t="s">
        <v>129</v>
      </c>
      <c r="B663" s="169"/>
      <c r="C663" s="169"/>
      <c r="D663" s="169"/>
      <c r="E663" s="169"/>
      <c r="F663" s="199">
        <f>SUM(F575:F587)+SUM(H602:H604)+SUM(L611)</f>
        <v>119546.46</v>
      </c>
      <c r="G663" s="199">
        <f>SUM(G575:G587)+SUM(I602:I604)+L612</f>
        <v>0</v>
      </c>
      <c r="H663" s="199">
        <f>SUM(H575:H587)+SUM(J602:J604)+L613</f>
        <v>64270.68</v>
      </c>
      <c r="I663" s="19">
        <f>SUM(F663:H663)</f>
        <v>183817.14</v>
      </c>
      <c r="J663" s="13"/>
      <c r="K663" s="13"/>
      <c r="L663" s="13"/>
      <c r="M663" s="9"/>
    </row>
    <row r="664" spans="1:13" s="3" customFormat="1" ht="12.2" customHeight="1" x14ac:dyDescent="0.15">
      <c r="A664" s="1" t="s">
        <v>130</v>
      </c>
      <c r="F664" s="19">
        <f>F660-SUM(F661:F663)</f>
        <v>1557037.3019941244</v>
      </c>
      <c r="G664" s="19">
        <f>G660-SUM(G661:G663)</f>
        <v>0</v>
      </c>
      <c r="H664" s="19">
        <f>H660-SUM(H661:H663)</f>
        <v>1009954.1480058753</v>
      </c>
      <c r="I664" s="19">
        <f>I660-SUM(I661:I663)</f>
        <v>2566991.4499999993</v>
      </c>
      <c r="J664" s="13"/>
      <c r="K664" s="13"/>
      <c r="L664" s="13"/>
      <c r="M664" s="9"/>
    </row>
    <row r="665" spans="1:13" s="3" customFormat="1" ht="12.2" customHeight="1" x14ac:dyDescent="0.2">
      <c r="A665" s="1" t="s">
        <v>131</v>
      </c>
      <c r="F665" s="246">
        <v>52.89</v>
      </c>
      <c r="G665" s="247"/>
      <c r="H665" s="247">
        <v>27.88</v>
      </c>
      <c r="I665" s="19">
        <f>SUM(F665:H665)</f>
        <v>80.77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29439.16</v>
      </c>
      <c r="G667" s="19" t="e">
        <f>ROUND(G664/G665,2)</f>
        <v>#DIV/0!</v>
      </c>
      <c r="H667" s="19">
        <f>ROUND(H664/H665,2)</f>
        <v>36225.040000000001</v>
      </c>
      <c r="I667" s="19">
        <f>ROUND(I664/I665,2)</f>
        <v>31781.5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-0.33</v>
      </c>
      <c r="I670" s="19">
        <f>SUM(F670:H670)</f>
        <v>-0.33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29439.16</v>
      </c>
      <c r="G672" s="19" t="e">
        <f>ROUND((G664+G669)/(G665+G670),2)</f>
        <v>#DIV/0!</v>
      </c>
      <c r="H672" s="19">
        <f>ROUND((H664+H669)/(H665+H670),2)</f>
        <v>36658.949999999997</v>
      </c>
      <c r="I672" s="19">
        <f>ROUND((I664+I669)/(I665+I670),2)</f>
        <v>31911.88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zoomScale="110" zoomScaleNormal="11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PITTSBURG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678815.33000000007</v>
      </c>
      <c r="C9" s="229">
        <f>'DOE25'!G197+'DOE25'!G215+'DOE25'!G233+'DOE25'!G276+'DOE25'!G295+'DOE25'!G314</f>
        <v>384599.62000000005</v>
      </c>
    </row>
    <row r="10" spans="1:3" x14ac:dyDescent="0.2">
      <c r="A10" t="s">
        <v>775</v>
      </c>
      <c r="B10" s="240">
        <f>325175.65+45252+281832.3+8756.36+8395</f>
        <v>669411.30999999994</v>
      </c>
      <c r="C10" s="240">
        <v>383851.06</v>
      </c>
    </row>
    <row r="11" spans="1:3" x14ac:dyDescent="0.2">
      <c r="A11" t="s">
        <v>776</v>
      </c>
      <c r="B11" s="240">
        <v>9024.0400000000009</v>
      </c>
      <c r="C11" s="240">
        <v>718.31</v>
      </c>
    </row>
    <row r="12" spans="1:3" x14ac:dyDescent="0.2">
      <c r="A12" t="s">
        <v>777</v>
      </c>
      <c r="B12" s="240">
        <v>379.98</v>
      </c>
      <c r="C12" s="240">
        <v>30.25</v>
      </c>
    </row>
    <row r="13" spans="1:3" x14ac:dyDescent="0.2">
      <c r="A13" t="str">
        <f>IF(B9=B13,IF(C9=C13,"Check Total OK","Check Total Error"),"Check Total Error")</f>
        <v>Check Total OK</v>
      </c>
      <c r="B13" s="231">
        <f>SUM(B10:B12)</f>
        <v>678815.33</v>
      </c>
      <c r="C13" s="231">
        <f>SUM(C10:C12)</f>
        <v>384599.62</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107783.54000000001</v>
      </c>
      <c r="C18" s="229">
        <f>'DOE25'!G198+'DOE25'!G216+'DOE25'!G234+'DOE25'!G277+'DOE25'!G296+'DOE25'!G315</f>
        <v>24969.73</v>
      </c>
    </row>
    <row r="19" spans="1:3" x14ac:dyDescent="0.2">
      <c r="A19" t="s">
        <v>775</v>
      </c>
      <c r="B19" s="240">
        <f>39915.2+11922.8</f>
        <v>51838</v>
      </c>
      <c r="C19" s="240">
        <v>18964.77</v>
      </c>
    </row>
    <row r="20" spans="1:3" x14ac:dyDescent="0.2">
      <c r="A20" t="s">
        <v>776</v>
      </c>
      <c r="B20" s="240">
        <f>37353.29+13928.41</f>
        <v>51281.7</v>
      </c>
      <c r="C20" s="240">
        <f>4081.96+1600</f>
        <v>5681.96</v>
      </c>
    </row>
    <row r="21" spans="1:3" x14ac:dyDescent="0.2">
      <c r="A21" t="s">
        <v>777</v>
      </c>
      <c r="B21" s="240">
        <f>1694+2250.1+719.74</f>
        <v>4663.84</v>
      </c>
      <c r="C21" s="240">
        <v>323</v>
      </c>
    </row>
    <row r="22" spans="1:3" x14ac:dyDescent="0.2">
      <c r="A22" t="str">
        <f>IF(B18=B22,IF(C18=C22,"Check Total OK","Check Total Error"),"Check Total Error")</f>
        <v>Check Total OK</v>
      </c>
      <c r="B22" s="231">
        <f>SUM(B19:B21)</f>
        <v>107783.54</v>
      </c>
      <c r="C22" s="231">
        <f>SUM(C19:C21)</f>
        <v>24969.73</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31658</v>
      </c>
      <c r="C36" s="235">
        <f>'DOE25'!G200+'DOE25'!G218+'DOE25'!G236+'DOE25'!G279+'DOE25'!G298+'DOE25'!G317</f>
        <v>5521.58</v>
      </c>
    </row>
    <row r="37" spans="1:3" x14ac:dyDescent="0.2">
      <c r="A37" t="s">
        <v>775</v>
      </c>
      <c r="B37" s="240">
        <v>0</v>
      </c>
      <c r="C37" s="240"/>
    </row>
    <row r="38" spans="1:3" x14ac:dyDescent="0.2">
      <c r="A38" t="s">
        <v>776</v>
      </c>
      <c r="B38" s="240"/>
      <c r="C38" s="240"/>
    </row>
    <row r="39" spans="1:3" x14ac:dyDescent="0.2">
      <c r="A39" t="s">
        <v>777</v>
      </c>
      <c r="B39" s="240">
        <v>31658</v>
      </c>
      <c r="C39" s="240">
        <v>5521.58</v>
      </c>
    </row>
    <row r="40" spans="1:3" x14ac:dyDescent="0.2">
      <c r="A40" t="str">
        <f>IF(B36=B40,IF(C36=C40,"Check Total OK","Check Total Error"),"Check Total Error")</f>
        <v>Check Total OK</v>
      </c>
      <c r="B40" s="231">
        <f>SUM(B37:B39)</f>
        <v>31658</v>
      </c>
      <c r="C40" s="231">
        <f>SUM(C37:C39)</f>
        <v>5521.58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PITTSBURG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1350912.67</v>
      </c>
      <c r="D5" s="20">
        <f>SUM('DOE25'!L197:L200)+SUM('DOE25'!L215:L218)+SUM('DOE25'!L233:L236)-F5-G5-H5</f>
        <v>1332353.8599999999</v>
      </c>
      <c r="E5" s="243"/>
      <c r="F5" s="244"/>
      <c r="G5" s="53">
        <f>SUM('DOE25'!J197:J200)+SUM('DOE25'!J215:J218)+SUM('DOE25'!J233:J236)</f>
        <v>8951.32</v>
      </c>
      <c r="H5" s="53">
        <f>SUM('DOE25'!K197:K200)+SUM('DOE25'!K215:K218)+SUM('DOE25'!K233:K236)</f>
        <v>9607.49</v>
      </c>
      <c r="I5" s="256"/>
    </row>
    <row r="6" spans="1:9" x14ac:dyDescent="0.2">
      <c r="A6" s="32">
        <v>2100</v>
      </c>
      <c r="B6" t="s">
        <v>796</v>
      </c>
      <c r="C6" s="276">
        <f t="shared" si="0"/>
        <v>222424.99999999997</v>
      </c>
      <c r="D6" s="20">
        <f>'DOE25'!L202+'DOE25'!L220+'DOE25'!L238-F6-G6-H6</f>
        <v>216086.28999999995</v>
      </c>
      <c r="E6" s="243"/>
      <c r="F6" s="244"/>
      <c r="G6" s="53">
        <f>'DOE25'!J202+'DOE25'!J220+'DOE25'!J238</f>
        <v>1915.76</v>
      </c>
      <c r="H6" s="53">
        <f>'DOE25'!K202+'DOE25'!K220+'DOE25'!K238</f>
        <v>4422.95</v>
      </c>
      <c r="I6" s="256"/>
    </row>
    <row r="7" spans="1:9" x14ac:dyDescent="0.2">
      <c r="A7" s="32">
        <v>2200</v>
      </c>
      <c r="B7" t="s">
        <v>821</v>
      </c>
      <c r="C7" s="276">
        <f t="shared" si="0"/>
        <v>45820.959999999999</v>
      </c>
      <c r="D7" s="20">
        <f>'DOE25'!L203+'DOE25'!L221+'DOE25'!L239-F7-G7-H7</f>
        <v>13040.359999999999</v>
      </c>
      <c r="E7" s="243"/>
      <c r="F7" s="244">
        <f>26168</f>
        <v>26168</v>
      </c>
      <c r="G7" s="53">
        <f>'DOE25'!J203+'DOE25'!J221+'DOE25'!J239</f>
        <v>4876.32</v>
      </c>
      <c r="H7" s="53">
        <f>'DOE25'!K203+'DOE25'!K221+'DOE25'!K239</f>
        <v>1736.28</v>
      </c>
      <c r="I7" s="256"/>
    </row>
    <row r="8" spans="1:9" x14ac:dyDescent="0.2">
      <c r="A8" s="32">
        <v>2300</v>
      </c>
      <c r="B8" t="s">
        <v>797</v>
      </c>
      <c r="C8" s="276">
        <f t="shared" si="0"/>
        <v>215155.22</v>
      </c>
      <c r="D8" s="243"/>
      <c r="E8" s="20">
        <f>'DOE25'!L204+'DOE25'!L222+'DOE25'!L240-F8-G8-H8-D9-D11</f>
        <v>211050.32</v>
      </c>
      <c r="F8" s="244"/>
      <c r="G8" s="53">
        <f>'DOE25'!J204+'DOE25'!J222+'DOE25'!J240</f>
        <v>0</v>
      </c>
      <c r="H8" s="53">
        <f>'DOE25'!K204+'DOE25'!K222+'DOE25'!K240</f>
        <v>4104.8999999999996</v>
      </c>
      <c r="I8" s="256"/>
    </row>
    <row r="9" spans="1:9" ht="14.25" x14ac:dyDescent="0.2">
      <c r="A9" s="32">
        <v>2310</v>
      </c>
      <c r="B9" s="185" t="s">
        <v>890</v>
      </c>
      <c r="C9" s="276">
        <f t="shared" si="0"/>
        <v>15636.470000000001</v>
      </c>
      <c r="D9" s="323">
        <f>25236.47-9600</f>
        <v>15636.470000000001</v>
      </c>
      <c r="E9" s="243"/>
      <c r="F9" s="253"/>
      <c r="G9" s="253"/>
      <c r="H9" s="253"/>
      <c r="I9" s="256"/>
    </row>
    <row r="10" spans="1:9" ht="14.25" x14ac:dyDescent="0.2">
      <c r="A10" s="32">
        <v>2317</v>
      </c>
      <c r="B10" s="185" t="s">
        <v>891</v>
      </c>
      <c r="C10" s="276">
        <f t="shared" si="0"/>
        <v>9600</v>
      </c>
      <c r="D10" s="243"/>
      <c r="E10" s="244">
        <v>9600</v>
      </c>
      <c r="F10" s="253"/>
      <c r="G10" s="253"/>
      <c r="H10" s="253"/>
      <c r="I10" s="256"/>
    </row>
    <row r="11" spans="1:9" ht="14.25" x14ac:dyDescent="0.2">
      <c r="A11" s="32">
        <v>2321</v>
      </c>
      <c r="B11" s="185" t="s">
        <v>892</v>
      </c>
      <c r="C11" s="276">
        <f t="shared" si="0"/>
        <v>73336.06</v>
      </c>
      <c r="D11" s="244">
        <v>73336.06</v>
      </c>
      <c r="E11" s="243"/>
      <c r="F11" s="253"/>
      <c r="G11" s="253"/>
      <c r="H11" s="253"/>
      <c r="I11" s="256"/>
    </row>
    <row r="12" spans="1:9" x14ac:dyDescent="0.2">
      <c r="A12" s="32">
        <v>2400</v>
      </c>
      <c r="B12" t="s">
        <v>711</v>
      </c>
      <c r="C12" s="276">
        <f t="shared" si="0"/>
        <v>194935.73</v>
      </c>
      <c r="D12" s="20">
        <f>'DOE25'!L205+'DOE25'!L223+'DOE25'!L241-F12-G12-H12</f>
        <v>194064.39</v>
      </c>
      <c r="E12" s="243"/>
      <c r="F12" s="244"/>
      <c r="G12" s="53">
        <f>'DOE25'!J205+'DOE25'!J223+'DOE25'!J241</f>
        <v>0</v>
      </c>
      <c r="H12" s="53">
        <f>'DOE25'!K205+'DOE25'!K223+'DOE25'!K241</f>
        <v>871.34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333383.97000000003</v>
      </c>
      <c r="D14" s="20">
        <f>'DOE25'!L207+'DOE25'!L225+'DOE25'!L243-F14-G14-H14</f>
        <v>312607.45</v>
      </c>
      <c r="E14" s="243"/>
      <c r="F14" s="244">
        <v>6809</v>
      </c>
      <c r="G14" s="53">
        <f>'DOE25'!J207+'DOE25'!J225+'DOE25'!J243</f>
        <v>12348.77</v>
      </c>
      <c r="H14" s="53">
        <f>'DOE25'!K207+'DOE25'!K225+'DOE25'!K243</f>
        <v>1618.75</v>
      </c>
      <c r="I14" s="256"/>
    </row>
    <row r="15" spans="1:9" x14ac:dyDescent="0.2">
      <c r="A15" s="32">
        <v>2700</v>
      </c>
      <c r="B15" t="s">
        <v>799</v>
      </c>
      <c r="C15" s="276">
        <f t="shared" si="0"/>
        <v>253781.74</v>
      </c>
      <c r="D15" s="20">
        <f>'DOE25'!L208+'DOE25'!L226+'DOE25'!L244-F15-G15-H15</f>
        <v>107008.43999999999</v>
      </c>
      <c r="E15" s="243"/>
      <c r="F15" s="244"/>
      <c r="G15" s="53">
        <f>'DOE25'!J208+'DOE25'!J226+'DOE25'!J244</f>
        <v>145924</v>
      </c>
      <c r="H15" s="53">
        <f>'DOE25'!K208+'DOE25'!K226+'DOE25'!K244</f>
        <v>849.3</v>
      </c>
      <c r="I15" s="256"/>
    </row>
    <row r="16" spans="1:9" x14ac:dyDescent="0.2">
      <c r="A16" s="32">
        <v>2800</v>
      </c>
      <c r="B16" t="s">
        <v>800</v>
      </c>
      <c r="C16" s="276">
        <f t="shared" si="0"/>
        <v>5751.36</v>
      </c>
      <c r="D16" s="243"/>
      <c r="E16" s="20">
        <f>'DOE25'!L209+'DOE25'!L227+'DOE25'!L245-F16-G16-H16</f>
        <v>5751.36</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50277</v>
      </c>
      <c r="D22" s="243"/>
      <c r="E22" s="243"/>
      <c r="F22" s="243"/>
      <c r="G22" s="53">
        <f>'DOE25'!L255+'DOE25'!L336</f>
        <v>50277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54896.67</v>
      </c>
      <c r="D29" s="284">
        <f>'DOE25'!L358+'DOE25'!L359+'DOE25'!L360-'DOE25'!I367-F29-G29-H29</f>
        <v>12769</v>
      </c>
      <c r="E29" s="243"/>
      <c r="F29" s="244">
        <v>42127.67</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105033.13000000002</v>
      </c>
      <c r="D31" s="20">
        <f>'DOE25'!L290+'DOE25'!L309+'DOE25'!L328+'DOE25'!L333+'DOE25'!L334+'DOE25'!L335-F31-G31-H31</f>
        <v>94778.410000000018</v>
      </c>
      <c r="E31" s="243"/>
      <c r="F31" s="244"/>
      <c r="G31" s="53">
        <f>'DOE25'!J290+'DOE25'!J309+'DOE25'!J328+'DOE25'!J333+'DOE25'!J334+'DOE25'!J335</f>
        <v>800.97</v>
      </c>
      <c r="H31" s="53">
        <f>'DOE25'!K290+'DOE25'!K309+'DOE25'!K328+'DOE25'!K333+'DOE25'!K334+'DOE25'!K335</f>
        <v>9453.75</v>
      </c>
      <c r="I31" s="256"/>
    </row>
    <row r="32" spans="1:9" ht="12" thickBot="1" x14ac:dyDescent="0.25">
      <c r="C32" s="277"/>
      <c r="G32" s="251"/>
      <c r="H32" s="251"/>
      <c r="I32" s="258"/>
    </row>
    <row r="33" spans="1:9" ht="12" thickTop="1" x14ac:dyDescent="0.2">
      <c r="B33" t="s">
        <v>809</v>
      </c>
      <c r="D33" s="245">
        <f t="shared" ref="D33:I33" si="1">SUM(D5:D31)</f>
        <v>2371680.7300000004</v>
      </c>
      <c r="E33" s="245">
        <f t="shared" si="1"/>
        <v>226401.68</v>
      </c>
      <c r="F33" s="245">
        <f t="shared" si="1"/>
        <v>75104.67</v>
      </c>
      <c r="G33" s="245">
        <f t="shared" si="1"/>
        <v>225094.13999999998</v>
      </c>
      <c r="H33" s="245">
        <f t="shared" si="1"/>
        <v>32664.76</v>
      </c>
      <c r="I33" s="245">
        <f t="shared" si="1"/>
        <v>0</v>
      </c>
    </row>
    <row r="35" spans="1:9" ht="12" thickBot="1" x14ac:dyDescent="0.25">
      <c r="B35" s="251" t="s">
        <v>831</v>
      </c>
      <c r="D35" s="252">
        <f>E33</f>
        <v>226401.68</v>
      </c>
      <c r="E35" s="248"/>
    </row>
    <row r="36" spans="1:9" ht="12" thickTop="1" x14ac:dyDescent="0.2">
      <c r="B36" t="s">
        <v>810</v>
      </c>
      <c r="D36" s="20">
        <f>D33</f>
        <v>2371680.7300000004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PITTSBURG SCHOOL DISTRICT</v>
      </c>
      <c r="B2" s="126">
        <f>'DOE25'!B2</f>
        <v>437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1702836.17</v>
      </c>
      <c r="G4" s="303">
        <f>'DOE25'!L211+'DOE25'!L290</f>
        <v>1702836.17</v>
      </c>
      <c r="H4" s="304">
        <f>F4-G4</f>
        <v>0</v>
      </c>
      <c r="I4" s="310" t="str">
        <f>IF(H4=0,"","Does not match DOE25 page 7 and 11 Totals!!")</f>
        <v/>
      </c>
      <c r="N4"/>
    </row>
    <row r="5" spans="1:18" x14ac:dyDescent="0.2">
      <c r="A5" s="21" t="s">
        <v>1379</v>
      </c>
      <c r="B5" s="305">
        <f>IFERROR(VLOOKUP(A5,'School Tables'!$C$3:$D$368,2,FALSE),"")</f>
        <v>20205</v>
      </c>
      <c r="C5" s="297" t="str">
        <f>IFERROR(INDEX('School Tables'!$B$3:$B$368,MATCH('School Level Expenditures'!B5,'School Tables'!$D$3:$D$368,0)),"")</f>
        <v>Pittsburg</v>
      </c>
      <c r="D5" s="294">
        <v>1630414.78</v>
      </c>
      <c r="E5" s="294">
        <v>72421.39</v>
      </c>
      <c r="F5" s="313">
        <f>D5+E5</f>
        <v>1702836.17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1113336.1399999999</v>
      </c>
      <c r="G36" s="303">
        <f>'DOE25'!L247+'DOE25'!L328</f>
        <v>1113336.1399999999</v>
      </c>
      <c r="H36" s="304">
        <f>F36-G36</f>
        <v>0</v>
      </c>
      <c r="I36" s="310" t="str">
        <f>IF(H36=0,"","Does not match DOE25 page 9 and 13 Totals!!")</f>
        <v/>
      </c>
      <c r="N36"/>
    </row>
    <row r="37" spans="1:14" x14ac:dyDescent="0.2">
      <c r="A37" s="21" t="s">
        <v>1380</v>
      </c>
      <c r="B37" s="305">
        <f>IFERROR(VLOOKUP(A37,'School Tables'!$O$3:$P$122,2,FALSE),"")</f>
        <v>26500</v>
      </c>
      <c r="C37" s="297" t="str">
        <f t="array" ref="C37">IFERROR(INDEX('School Tables'!$N$3:$N$122,MATCH('School Level Expenditures'!B37,'School Tables'!$P$3:$P$122,0)),"")</f>
        <v>Pittsburg</v>
      </c>
      <c r="D37" s="294">
        <v>1080724.3999999999</v>
      </c>
      <c r="E37" s="294">
        <v>32611.74</v>
      </c>
      <c r="F37" s="308">
        <f>D37+E37</f>
        <v>1113336.1399999999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PITTSBURG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186096.66</v>
      </c>
      <c r="D8" s="95">
        <f>'DOE25'!G9</f>
        <v>4252.2</v>
      </c>
      <c r="E8" s="95">
        <f>'DOE25'!H9</f>
        <v>0</v>
      </c>
      <c r="F8" s="95">
        <f>'DOE25'!I9</f>
        <v>0</v>
      </c>
      <c r="G8" s="95">
        <f>'DOE25'!J9</f>
        <v>497052.75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55778.06</v>
      </c>
      <c r="D11" s="95">
        <f>'DOE25'!G12</f>
        <v>0</v>
      </c>
      <c r="E11" s="95">
        <f>'DOE25'!H12</f>
        <v>0</v>
      </c>
      <c r="F11" s="95">
        <f>'DOE25'!I12</f>
        <v>0</v>
      </c>
      <c r="G11" s="95">
        <f>'DOE25'!J12</f>
        <v>0</v>
      </c>
      <c r="H11" s="124"/>
      <c r="I11" s="124"/>
    </row>
    <row r="12" spans="1:9" x14ac:dyDescent="0.2">
      <c r="A12" s="1" t="s">
        <v>143</v>
      </c>
      <c r="B12" s="6">
        <v>140</v>
      </c>
      <c r="C12" s="95">
        <f>'DOE25'!F13</f>
        <v>126038.28</v>
      </c>
      <c r="D12" s="95">
        <f>'DOE25'!G13</f>
        <v>1179.6099999999999</v>
      </c>
      <c r="E12" s="95">
        <f>'DOE25'!H13</f>
        <v>66374.42</v>
      </c>
      <c r="F12" s="95">
        <f>'DOE25'!I13</f>
        <v>0</v>
      </c>
      <c r="G12" s="95">
        <f>'DOE25'!J13</f>
        <v>0</v>
      </c>
      <c r="H12" s="124"/>
      <c r="I12" s="124"/>
    </row>
    <row r="13" spans="1:9" x14ac:dyDescent="0.2">
      <c r="A13" s="1" t="s">
        <v>144</v>
      </c>
      <c r="B13" s="6">
        <v>150</v>
      </c>
      <c r="C13" s="95">
        <f>'DOE25'!F14</f>
        <v>647.04</v>
      </c>
      <c r="D13" s="95">
        <f>'DOE25'!G14</f>
        <v>83.800000000000068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1847.46</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368560.04</v>
      </c>
      <c r="D18" s="41">
        <f>SUM(D8:D17)</f>
        <v>7363.07</v>
      </c>
      <c r="E18" s="41">
        <f>SUM(E8:E17)</f>
        <v>66374.42</v>
      </c>
      <c r="F18" s="41">
        <f>SUM(F8:F17)</f>
        <v>0</v>
      </c>
      <c r="G18" s="41">
        <f>SUM(G8:G17)</f>
        <v>497052.75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55778.06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20292.419999999998</v>
      </c>
      <c r="D23" s="95">
        <f>'DOE25'!G24</f>
        <v>2438.4899999999998</v>
      </c>
      <c r="E23" s="95">
        <f>'DOE25'!H24</f>
        <v>4660.6400000000003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8639.8900000000012</v>
      </c>
      <c r="D27" s="95">
        <f>'DOE25'!G28</f>
        <v>0</v>
      </c>
      <c r="E27" s="95">
        <f>'DOE25'!H28</f>
        <v>1090</v>
      </c>
      <c r="F27" s="95">
        <f>'DOE25'!I28</f>
        <v>0</v>
      </c>
      <c r="G27" s="24" t="s">
        <v>288</v>
      </c>
      <c r="H27" s="124"/>
      <c r="I27" s="124"/>
    </row>
    <row r="28" spans="1:9" x14ac:dyDescent="0.2">
      <c r="A28" s="1" t="s">
        <v>157</v>
      </c>
      <c r="B28" s="6">
        <v>470</v>
      </c>
      <c r="C28" s="95">
        <f>'DOE25'!F29</f>
        <v>3884.84</v>
      </c>
      <c r="D28" s="95">
        <f>'DOE25'!G29</f>
        <v>0</v>
      </c>
      <c r="E28" s="95">
        <f>'DOE25'!H29</f>
        <v>274.52999999999997</v>
      </c>
      <c r="F28" s="95">
        <f>'DOE25'!I29</f>
        <v>0</v>
      </c>
      <c r="G28" s="24" t="s">
        <v>288</v>
      </c>
      <c r="H28" s="124"/>
      <c r="I28" s="124"/>
    </row>
    <row r="29" spans="1:9" x14ac:dyDescent="0.2">
      <c r="A29" s="1" t="s">
        <v>158</v>
      </c>
      <c r="B29" s="6">
        <v>480</v>
      </c>
      <c r="C29" s="95">
        <f>'DOE25'!F30</f>
        <v>0</v>
      </c>
      <c r="D29" s="95">
        <f>'DOE25'!G30</f>
        <v>0</v>
      </c>
      <c r="E29" s="95">
        <f>'DOE25'!H30</f>
        <v>4571.1899999999996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32817.149999999994</v>
      </c>
      <c r="D31" s="41">
        <f>SUM(D21:D30)</f>
        <v>2438.4899999999998</v>
      </c>
      <c r="E31" s="41">
        <f>SUM(E21:E30)</f>
        <v>66374.42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1847.46</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3077.1200000000031</v>
      </c>
      <c r="E47" s="95">
        <f>'DOE25'!H48</f>
        <v>0</v>
      </c>
      <c r="F47" s="95">
        <f>'DOE25'!I48</f>
        <v>0</v>
      </c>
      <c r="G47" s="95">
        <f>'DOE25'!J48</f>
        <v>497052.75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335742.89</v>
      </c>
      <c r="D49" s="24" t="s">
        <v>288</v>
      </c>
      <c r="E49" s="24" t="s">
        <v>288</v>
      </c>
      <c r="F49" s="24" t="s">
        <v>288</v>
      </c>
      <c r="G49" s="24" t="s">
        <v>288</v>
      </c>
      <c r="H49" s="124"/>
      <c r="I49" s="124"/>
    </row>
    <row r="50" spans="1:9" ht="12.75" thickTop="1" thickBot="1" x14ac:dyDescent="0.25">
      <c r="A50" s="38" t="s">
        <v>884</v>
      </c>
      <c r="B50" s="48"/>
      <c r="C50" s="41">
        <f>SUM(C34:C49)</f>
        <v>335742.89</v>
      </c>
      <c r="D50" s="41">
        <f>SUM(D34:D49)</f>
        <v>4924.5800000000036</v>
      </c>
      <c r="E50" s="41">
        <f>SUM(E34:E49)</f>
        <v>0</v>
      </c>
      <c r="F50" s="41">
        <f>SUM(F34:F49)</f>
        <v>0</v>
      </c>
      <c r="G50" s="41">
        <f>SUM(G34:G49)</f>
        <v>497052.75</v>
      </c>
      <c r="H50" s="124"/>
      <c r="I50" s="124"/>
    </row>
    <row r="51" spans="1:9" ht="12" thickTop="1" x14ac:dyDescent="0.2">
      <c r="A51" s="38" t="s">
        <v>885</v>
      </c>
      <c r="B51" s="2"/>
      <c r="C51" s="41">
        <f>C50+C31</f>
        <v>368560.04000000004</v>
      </c>
      <c r="D51" s="41">
        <f>D50+D31</f>
        <v>7363.0700000000033</v>
      </c>
      <c r="E51" s="41">
        <f>E50+E31</f>
        <v>66374.42</v>
      </c>
      <c r="F51" s="41">
        <f>F50+F31</f>
        <v>0</v>
      </c>
      <c r="G51" s="41">
        <f>G50+G31</f>
        <v>497052.75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1515966</v>
      </c>
      <c r="D56" s="95">
        <f>'DOE25'!G60</f>
        <v>0</v>
      </c>
      <c r="E56" s="95">
        <f>'DOE25'!H60</f>
        <v>0</v>
      </c>
      <c r="F56" s="95">
        <f>'DOE25'!I60</f>
        <v>0</v>
      </c>
      <c r="G56" s="95">
        <f>'DOE25'!J60</f>
        <v>0</v>
      </c>
      <c r="H56"/>
      <c r="I56"/>
    </row>
    <row r="57" spans="1:9" x14ac:dyDescent="0.2">
      <c r="A57" s="1" t="s">
        <v>164</v>
      </c>
      <c r="B57" s="6" t="s">
        <v>165</v>
      </c>
      <c r="C57" s="95">
        <f>'DOE25'!F79</f>
        <v>410509.89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11606.64</v>
      </c>
      <c r="H59"/>
      <c r="I59"/>
    </row>
    <row r="60" spans="1:9" x14ac:dyDescent="0.2">
      <c r="A60" s="1" t="s">
        <v>170</v>
      </c>
      <c r="B60" s="118" t="s">
        <v>171</v>
      </c>
      <c r="C60" s="24" t="s">
        <v>288</v>
      </c>
      <c r="D60" s="95">
        <f>'DOE25'!G97</f>
        <v>12402.65</v>
      </c>
      <c r="E60" s="24" t="s">
        <v>288</v>
      </c>
      <c r="F60" s="24" t="s">
        <v>288</v>
      </c>
      <c r="G60" s="24" t="s">
        <v>288</v>
      </c>
      <c r="H60"/>
      <c r="I60"/>
    </row>
    <row r="61" spans="1:9" ht="12" thickBot="1" x14ac:dyDescent="0.25">
      <c r="A61" s="1" t="s">
        <v>172</v>
      </c>
      <c r="B61" s="118" t="s">
        <v>173</v>
      </c>
      <c r="C61" s="95">
        <f>SUM('DOE25'!F98:F110)</f>
        <v>87137.34</v>
      </c>
      <c r="D61" s="95">
        <f>SUM('DOE25'!G98:G110)</f>
        <v>0</v>
      </c>
      <c r="E61" s="95">
        <f>SUM('DOE25'!H98:H110)</f>
        <v>800.97</v>
      </c>
      <c r="F61" s="95">
        <f>SUM('DOE25'!I98:I110)</f>
        <v>0</v>
      </c>
      <c r="G61" s="95">
        <f>SUM('DOE25'!J98:J110)</f>
        <v>0</v>
      </c>
      <c r="H61"/>
      <c r="I61"/>
    </row>
    <row r="62" spans="1:9" ht="12.75" thickTop="1" thickBot="1" x14ac:dyDescent="0.25">
      <c r="A62" s="29" t="s">
        <v>174</v>
      </c>
      <c r="B62" s="6"/>
      <c r="C62" s="130">
        <f>SUM(C57:C61)</f>
        <v>497647.23</v>
      </c>
      <c r="D62" s="130">
        <f>SUM(D57:D61)</f>
        <v>12402.65</v>
      </c>
      <c r="E62" s="130">
        <f>SUM(E57:E61)</f>
        <v>800.97</v>
      </c>
      <c r="F62" s="130">
        <f>SUM(F57:F61)</f>
        <v>0</v>
      </c>
      <c r="G62" s="130">
        <f>SUM(G57:G61)</f>
        <v>11606.64</v>
      </c>
      <c r="H62"/>
      <c r="I62"/>
    </row>
    <row r="63" spans="1:9" ht="12" thickTop="1" x14ac:dyDescent="0.2">
      <c r="A63" s="29" t="s">
        <v>175</v>
      </c>
      <c r="B63" s="6"/>
      <c r="C63" s="22">
        <f>C56+C62</f>
        <v>2013613.23</v>
      </c>
      <c r="D63" s="22">
        <f>D56+D62</f>
        <v>12402.65</v>
      </c>
      <c r="E63" s="22">
        <f>E56+E62</f>
        <v>800.97</v>
      </c>
      <c r="F63" s="22">
        <f>F56+F62</f>
        <v>0</v>
      </c>
      <c r="G63" s="22">
        <f>G56+G62</f>
        <v>11606.64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586357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586357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5129.3</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3760.94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583.87</v>
      </c>
      <c r="E77" s="95">
        <f>SUM('DOE25'!H131:H135)</f>
        <v>53768</v>
      </c>
      <c r="F77" s="95">
        <f>SUM('DOE25'!I131:I135)</f>
        <v>0</v>
      </c>
      <c r="G77" s="95">
        <f>SUM('DOE25'!J131:J135)</f>
        <v>0</v>
      </c>
      <c r="H77"/>
      <c r="I77"/>
    </row>
    <row r="78" spans="1:9" ht="12.75" thickTop="1" thickBot="1" x14ac:dyDescent="0.25">
      <c r="A78" s="29" t="s">
        <v>259</v>
      </c>
      <c r="B78" s="6"/>
      <c r="C78" s="130">
        <f>SUM(C72:C77)</f>
        <v>8890.24</v>
      </c>
      <c r="D78" s="130">
        <f>SUM(D72:D77)</f>
        <v>583.87</v>
      </c>
      <c r="E78" s="130">
        <f>SUM(E72:E77)</f>
        <v>53768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595247.24</v>
      </c>
      <c r="D81" s="130">
        <f>SUM(D79:D80)+D78+D70</f>
        <v>583.87</v>
      </c>
      <c r="E81" s="130">
        <f>SUM(E79:E80)+E78+E70</f>
        <v>53768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1565.17</v>
      </c>
      <c r="D88" s="95">
        <f>SUM('DOE25'!G153:G161)</f>
        <v>20416.419999999998</v>
      </c>
      <c r="E88" s="95">
        <f>SUM('DOE25'!H153:H161)</f>
        <v>50464.160000000003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1565.17</v>
      </c>
      <c r="D91" s="131">
        <f>SUM(D85:D90)</f>
        <v>20416.419999999998</v>
      </c>
      <c r="E91" s="131">
        <f>SUM(E85:E90)</f>
        <v>50464.160000000003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22000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120401.04</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120401.04</v>
      </c>
      <c r="D103" s="86">
        <f>SUM(D93:D102)</f>
        <v>22000</v>
      </c>
      <c r="E103" s="86">
        <f>SUM(E93:E102)</f>
        <v>0</v>
      </c>
      <c r="F103" s="86">
        <f>SUM(F93:F102)</f>
        <v>0</v>
      </c>
      <c r="G103" s="86">
        <f>SUM(G93:G102)</f>
        <v>0</v>
      </c>
    </row>
    <row r="104" spans="1:7" ht="12.75" thickTop="1" thickBot="1" x14ac:dyDescent="0.25">
      <c r="A104" s="33" t="s">
        <v>761</v>
      </c>
      <c r="C104" s="86">
        <f>C63+C81+C91+C103</f>
        <v>2730826.6799999997</v>
      </c>
      <c r="D104" s="86">
        <f>D63+D81+D91+D103</f>
        <v>55402.94</v>
      </c>
      <c r="E104" s="86">
        <f>E63+E81+E91+E103</f>
        <v>105033.13</v>
      </c>
      <c r="F104" s="86">
        <f>F63+F81+F91+F103</f>
        <v>0</v>
      </c>
      <c r="G104" s="86">
        <f>G63+G81+G103</f>
        <v>11606.64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1128534.1399999999</v>
      </c>
      <c r="D109" s="24" t="s">
        <v>288</v>
      </c>
      <c r="E109" s="95">
        <f>('DOE25'!L276)+('DOE25'!L295)+('DOE25'!L314)</f>
        <v>22221.230000000003</v>
      </c>
      <c r="F109" s="24" t="s">
        <v>288</v>
      </c>
      <c r="G109" s="24" t="s">
        <v>288</v>
      </c>
    </row>
    <row r="110" spans="1:7" x14ac:dyDescent="0.2">
      <c r="A110" t="s">
        <v>198</v>
      </c>
      <c r="B110" s="32" t="s">
        <v>199</v>
      </c>
      <c r="C110" s="95">
        <f>('DOE25'!L198)+('DOE25'!L216)+('DOE25'!L234)</f>
        <v>132939.27000000002</v>
      </c>
      <c r="D110" s="24" t="s">
        <v>288</v>
      </c>
      <c r="E110" s="95">
        <f>('DOE25'!L277)+('DOE25'!L296)+('DOE25'!L315)</f>
        <v>0</v>
      </c>
      <c r="F110" s="24" t="s">
        <v>288</v>
      </c>
      <c r="G110" s="24" t="s">
        <v>288</v>
      </c>
    </row>
    <row r="111" spans="1:7" x14ac:dyDescent="0.2">
      <c r="A111" t="s">
        <v>200</v>
      </c>
      <c r="B111" s="32" t="s">
        <v>165</v>
      </c>
      <c r="C111" s="95">
        <f>('DOE25'!L199)+('DOE25'!L217)+('DOE25'!L235)</f>
        <v>9000</v>
      </c>
      <c r="D111" s="24" t="s">
        <v>288</v>
      </c>
      <c r="E111" s="95">
        <f>('DOE25'!L278)+('DOE25'!L297)+('DOE25'!L316)</f>
        <v>0</v>
      </c>
      <c r="F111" s="24" t="s">
        <v>288</v>
      </c>
      <c r="G111" s="24" t="s">
        <v>288</v>
      </c>
    </row>
    <row r="112" spans="1:7" x14ac:dyDescent="0.2">
      <c r="A112" t="s">
        <v>201</v>
      </c>
      <c r="B112" s="32" t="s">
        <v>167</v>
      </c>
      <c r="C112" s="95">
        <f>('DOE25'!L200)+('DOE25'!L218)+('DOE25'!L236)</f>
        <v>80439.259999999995</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1350912.67</v>
      </c>
      <c r="D115" s="86">
        <f>SUM(D109:D114)</f>
        <v>0</v>
      </c>
      <c r="E115" s="86">
        <f>SUM(E109:E114)</f>
        <v>22221.230000000003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222424.99999999997</v>
      </c>
      <c r="D118" s="24" t="s">
        <v>288</v>
      </c>
      <c r="E118" s="95">
        <f>+('DOE25'!L281)+('DOE25'!L300)+('DOE25'!L319)</f>
        <v>100</v>
      </c>
      <c r="F118" s="24" t="s">
        <v>288</v>
      </c>
      <c r="G118" s="24" t="s">
        <v>288</v>
      </c>
    </row>
    <row r="119" spans="1:7" x14ac:dyDescent="0.2">
      <c r="A119" t="s">
        <v>208</v>
      </c>
      <c r="B119" s="32" t="s">
        <v>209</v>
      </c>
      <c r="C119" s="95">
        <f>('DOE25'!L203)+('DOE25'!L221)+('DOE25'!L239)</f>
        <v>45820.959999999999</v>
      </c>
      <c r="D119" s="24" t="s">
        <v>288</v>
      </c>
      <c r="E119" s="95">
        <f>+('DOE25'!L282)+('DOE25'!L301)+('DOE25'!L320)</f>
        <v>25900.9</v>
      </c>
      <c r="F119" s="24" t="s">
        <v>288</v>
      </c>
      <c r="G119" s="24" t="s">
        <v>288</v>
      </c>
    </row>
    <row r="120" spans="1:7" x14ac:dyDescent="0.2">
      <c r="A120" t="s">
        <v>210</v>
      </c>
      <c r="B120" s="32" t="s">
        <v>211</v>
      </c>
      <c r="C120" s="95">
        <f>('DOE25'!L204)+('DOE25'!L222)+('DOE25'!L240)</f>
        <v>304127.75</v>
      </c>
      <c r="D120" s="24" t="s">
        <v>288</v>
      </c>
      <c r="E120" s="95">
        <f>+('DOE25'!L283)+('DOE25'!L302)+('DOE25'!L321)</f>
        <v>3043</v>
      </c>
      <c r="F120" s="24" t="s">
        <v>288</v>
      </c>
      <c r="G120" s="24" t="s">
        <v>288</v>
      </c>
    </row>
    <row r="121" spans="1:7" x14ac:dyDescent="0.2">
      <c r="A121" t="s">
        <v>212</v>
      </c>
      <c r="B121" s="32" t="s">
        <v>213</v>
      </c>
      <c r="C121" s="95">
        <f>('DOE25'!L205)+('DOE25'!L223)+('DOE25'!L241)</f>
        <v>194935.73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333383.97000000003</v>
      </c>
      <c r="D123" s="24" t="s">
        <v>288</v>
      </c>
      <c r="E123" s="95">
        <f>+('DOE25'!L286)+('DOE25'!L305)+('DOE25'!L324)</f>
        <v>53768</v>
      </c>
      <c r="F123" s="24" t="s">
        <v>288</v>
      </c>
      <c r="G123" s="24" t="s">
        <v>288</v>
      </c>
    </row>
    <row r="124" spans="1:7" x14ac:dyDescent="0.2">
      <c r="A124" t="s">
        <v>218</v>
      </c>
      <c r="B124" s="32" t="s">
        <v>219</v>
      </c>
      <c r="C124" s="95">
        <f>('DOE25'!L208)+('DOE25'!L226)+('DOE25'!L244+'DOE25'!L254)</f>
        <v>253781.74</v>
      </c>
      <c r="D124" s="24" t="s">
        <v>288</v>
      </c>
      <c r="E124" s="95">
        <f>+('DOE25'!L287)+('DOE25'!L306)+('DOE25'!L325)</f>
        <v>0</v>
      </c>
      <c r="F124" s="24" t="s">
        <v>288</v>
      </c>
      <c r="G124" s="24" t="s">
        <v>288</v>
      </c>
    </row>
    <row r="125" spans="1:7" x14ac:dyDescent="0.2">
      <c r="A125" t="s">
        <v>220</v>
      </c>
      <c r="B125" s="32" t="s">
        <v>221</v>
      </c>
      <c r="C125" s="95">
        <f>('DOE25'!L209)+('DOE25'!L227)+('DOE25'!L245)</f>
        <v>5751.36</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54896.67</v>
      </c>
      <c r="E127" s="24" t="s">
        <v>288</v>
      </c>
      <c r="F127" s="24" t="s">
        <v>288</v>
      </c>
      <c r="G127" s="24" t="s">
        <v>288</v>
      </c>
    </row>
    <row r="128" spans="1:7" ht="12.75" thickTop="1" thickBot="1" x14ac:dyDescent="0.25">
      <c r="A128" s="33" t="s">
        <v>226</v>
      </c>
      <c r="C128" s="86">
        <f>SUM(C118:C127)</f>
        <v>1360226.51</v>
      </c>
      <c r="D128" s="86">
        <f>SUM(D118:D127)</f>
        <v>54896.67</v>
      </c>
      <c r="E128" s="86">
        <f>SUM(E118:E127)</f>
        <v>82811.899999999994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50277</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22000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11606.64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-11606.64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72277</v>
      </c>
      <c r="D144" s="141">
        <f>SUM(D130:D143)</f>
        <v>0</v>
      </c>
      <c r="E144" s="141">
        <f>SUM(E130:E143)</f>
        <v>0</v>
      </c>
      <c r="F144" s="141">
        <f>SUM(F130:F143)</f>
        <v>0</v>
      </c>
      <c r="G144" s="141">
        <f>SUM(G130:G143)</f>
        <v>0</v>
      </c>
    </row>
    <row r="145" spans="1:9" ht="12.75" thickTop="1" thickBot="1" x14ac:dyDescent="0.25">
      <c r="A145" s="33" t="s">
        <v>244</v>
      </c>
      <c r="C145" s="86">
        <f>(C115+C128+C144)</f>
        <v>2783416.1799999997</v>
      </c>
      <c r="D145" s="86">
        <f>(D115+D128+D144)</f>
        <v>54896.67</v>
      </c>
      <c r="E145" s="86">
        <f>(E115+E128+E144)</f>
        <v>105033.13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PITTSBURG SCHOOL DISTRICT</v>
      </c>
    </row>
    <row r="3" spans="1:4" x14ac:dyDescent="0.2">
      <c r="B3" s="188" t="s">
        <v>1602</v>
      </c>
    </row>
    <row r="4" spans="1:4" x14ac:dyDescent="0.2">
      <c r="B4" t="s">
        <v>61</v>
      </c>
      <c r="C4" s="179">
        <f>IF('DOE25'!F665+'DOE25'!F670=0,0,ROUND('DOE25'!F672,0))</f>
        <v>29439</v>
      </c>
    </row>
    <row r="5" spans="1:4" x14ac:dyDescent="0.2">
      <c r="B5" t="s">
        <v>700</v>
      </c>
      <c r="C5" s="179">
        <f>IF('DOE25'!G665+'DOE25'!G670=0,0,ROUND('DOE25'!G672,0))</f>
        <v>0</v>
      </c>
    </row>
    <row r="6" spans="1:4" x14ac:dyDescent="0.2">
      <c r="B6" t="s">
        <v>62</v>
      </c>
      <c r="C6" s="179">
        <f>IF('DOE25'!H665+'DOE25'!H670=0,0,ROUND('DOE25'!H672,0))</f>
        <v>36659</v>
      </c>
    </row>
    <row r="7" spans="1:4" x14ac:dyDescent="0.2">
      <c r="B7" t="s">
        <v>701</v>
      </c>
      <c r="C7" s="179">
        <f>IF('DOE25'!I665+'DOE25'!I670=0,0,ROUND('DOE25'!I672,0))</f>
        <v>31912</v>
      </c>
    </row>
    <row r="9" spans="1:4" x14ac:dyDescent="0.2">
      <c r="A9" s="187" t="s">
        <v>94</v>
      </c>
      <c r="B9" s="188" t="s">
        <v>1603</v>
      </c>
      <c r="C9" s="181" t="s">
        <v>720</v>
      </c>
      <c r="D9" s="181" t="s">
        <v>721</v>
      </c>
    </row>
    <row r="10" spans="1:4" x14ac:dyDescent="0.2">
      <c r="A10">
        <v>1100</v>
      </c>
      <c r="B10" t="s">
        <v>702</v>
      </c>
      <c r="C10" s="179">
        <f>ROUND('DOE25'!L197+'DOE25'!L215+'DOE25'!L233+'DOE25'!L276+'DOE25'!L295+'DOE25'!L314,0)</f>
        <v>1150755</v>
      </c>
      <c r="D10" s="182">
        <f>ROUND((C10/$C$28)*100,1)</f>
        <v>40.299999999999997</v>
      </c>
    </row>
    <row r="11" spans="1:4" x14ac:dyDescent="0.2">
      <c r="A11">
        <v>1200</v>
      </c>
      <c r="B11" t="s">
        <v>703</v>
      </c>
      <c r="C11" s="179">
        <f>ROUND('DOE25'!L198+'DOE25'!L216+'DOE25'!L234+'DOE25'!L277+'DOE25'!L296+'DOE25'!L315,0)</f>
        <v>132939</v>
      </c>
      <c r="D11" s="182">
        <f>ROUND((C11/$C$28)*100,1)</f>
        <v>4.7</v>
      </c>
    </row>
    <row r="12" spans="1:4" x14ac:dyDescent="0.2">
      <c r="A12">
        <v>1300</v>
      </c>
      <c r="B12" t="s">
        <v>704</v>
      </c>
      <c r="C12" s="179">
        <f>ROUND('DOE25'!L199+'DOE25'!L217+'DOE25'!L235+'DOE25'!L278+'DOE25'!L297+'DOE25'!L316,0)</f>
        <v>9000</v>
      </c>
      <c r="D12" s="182">
        <f>ROUND((C12/$C$28)*100,1)</f>
        <v>0.3</v>
      </c>
    </row>
    <row r="13" spans="1:4" x14ac:dyDescent="0.2">
      <c r="A13">
        <v>1400</v>
      </c>
      <c r="B13" t="s">
        <v>705</v>
      </c>
      <c r="C13" s="179">
        <f>ROUND('DOE25'!L200+'DOE25'!L218+'DOE25'!L236+'DOE25'!L279+'DOE25'!L298+'DOE25'!L317,0)</f>
        <v>80439</v>
      </c>
      <c r="D13" s="182">
        <f>ROUND((C13/$C$28)*100,1)</f>
        <v>2.8</v>
      </c>
    </row>
    <row r="14" spans="1:4" x14ac:dyDescent="0.2">
      <c r="D14" s="182"/>
    </row>
    <row r="15" spans="1:4" x14ac:dyDescent="0.2">
      <c r="A15">
        <v>2100</v>
      </c>
      <c r="B15" t="s">
        <v>706</v>
      </c>
      <c r="C15" s="179">
        <f>ROUND('DOE25'!L202+'DOE25'!L220+'DOE25'!L238+'DOE25'!L281+'DOE25'!L300+'DOE25'!L319,0)</f>
        <v>222525</v>
      </c>
      <c r="D15" s="182">
        <f t="shared" ref="D15:D27" si="0">ROUND((C15/$C$28)*100,1)</f>
        <v>7.8</v>
      </c>
    </row>
    <row r="16" spans="1:4" x14ac:dyDescent="0.2">
      <c r="A16">
        <v>2200</v>
      </c>
      <c r="B16" t="s">
        <v>707</v>
      </c>
      <c r="C16" s="179">
        <f>ROUND('DOE25'!L203+'DOE25'!L221+'DOE25'!L239+'DOE25'!L282+'DOE25'!L301+'DOE25'!L320,0)</f>
        <v>71722</v>
      </c>
      <c r="D16" s="182">
        <f t="shared" si="0"/>
        <v>2.5</v>
      </c>
    </row>
    <row r="17" spans="1:4" x14ac:dyDescent="0.2">
      <c r="A17" s="183" t="s">
        <v>723</v>
      </c>
      <c r="B17" t="s">
        <v>738</v>
      </c>
      <c r="C17" s="179">
        <f>ROUND('DOE25'!L204+'DOE25'!L209+'DOE25'!L222+'DOE25'!L227+'DOE25'!L240+'DOE25'!L245+'DOE25'!L283+'DOE25'!L288+'DOE25'!L302+'DOE25'!L307+'DOE25'!L321+'DOE25'!L326,0)</f>
        <v>312922</v>
      </c>
      <c r="D17" s="182">
        <f t="shared" si="0"/>
        <v>10.9</v>
      </c>
    </row>
    <row r="18" spans="1:4" x14ac:dyDescent="0.2">
      <c r="A18">
        <v>2400</v>
      </c>
      <c r="B18" t="s">
        <v>711</v>
      </c>
      <c r="C18" s="179">
        <f>ROUND('DOE25'!L205+'DOE25'!L223+'DOE25'!L241+'DOE25'!L284+'DOE25'!L303+'DOE25'!L322,0)</f>
        <v>194936</v>
      </c>
      <c r="D18" s="182">
        <f t="shared" si="0"/>
        <v>6.8</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387152</v>
      </c>
      <c r="D20" s="182">
        <f t="shared" si="0"/>
        <v>13.5</v>
      </c>
    </row>
    <row r="21" spans="1:4" x14ac:dyDescent="0.2">
      <c r="A21">
        <v>2700</v>
      </c>
      <c r="B21" t="s">
        <v>710</v>
      </c>
      <c r="C21" s="179">
        <f>ROUND('DOE25'!L208+'DOE25'!L226+'DOE25'!L244+'DOE25'!L287+'DOE25'!L306+'DOE25'!L325,0)</f>
        <v>253782</v>
      </c>
      <c r="D21" s="182">
        <f t="shared" si="0"/>
        <v>8.9</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42494.35</v>
      </c>
      <c r="D27" s="182">
        <f t="shared" si="0"/>
        <v>1.5</v>
      </c>
    </row>
    <row r="28" spans="1:4" x14ac:dyDescent="0.2">
      <c r="B28" s="187" t="s">
        <v>719</v>
      </c>
      <c r="C28" s="180">
        <f>SUM(C10:C27)</f>
        <v>2858666.35</v>
      </c>
      <c r="D28" s="184">
        <f>ROUND(SUM(D10:D27),0)</f>
        <v>100</v>
      </c>
    </row>
    <row r="29" spans="1:4" x14ac:dyDescent="0.2">
      <c r="A29">
        <v>4000</v>
      </c>
      <c r="B29" t="s">
        <v>724</v>
      </c>
      <c r="C29" s="179">
        <f>ROUND('DOE25'!L255+'DOE25'!L336+'DOE25'!L374+'DOE25'!L375+'DOE25'!L376+'DOE25'!L377+'DOE25'!L378+'DOE25'!L379+'DOE25'!L380,0)</f>
        <v>50277</v>
      </c>
    </row>
    <row r="30" spans="1:4" x14ac:dyDescent="0.2">
      <c r="B30" s="187" t="s">
        <v>725</v>
      </c>
      <c r="C30" s="180">
        <f>SUM(C28:C29)</f>
        <v>2908943.35</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1515966</v>
      </c>
      <c r="D35" s="182">
        <f t="shared" ref="D35:D40" si="1">ROUND((C35/$C$41)*100,1)</f>
        <v>55.2</v>
      </c>
    </row>
    <row r="36" spans="1:4" x14ac:dyDescent="0.2">
      <c r="B36" s="185" t="s">
        <v>739</v>
      </c>
      <c r="C36" s="179">
        <f>SUM('DOE25'!F112:J112)-SUM('DOE25'!G97:G110)+('DOE25'!F174+'DOE25'!F175+'DOE25'!I174+'DOE25'!I175)-C35</f>
        <v>510054.84000000008</v>
      </c>
      <c r="D36" s="182">
        <f t="shared" si="1"/>
        <v>18.600000000000001</v>
      </c>
    </row>
    <row r="37" spans="1:4" x14ac:dyDescent="0.2">
      <c r="A37" s="183" t="s">
        <v>835</v>
      </c>
      <c r="B37" s="185" t="s">
        <v>728</v>
      </c>
      <c r="C37" s="179">
        <f>ROUND('DOE25'!F117+'DOE25'!F118,0)</f>
        <v>586357</v>
      </c>
      <c r="D37" s="182">
        <f t="shared" si="1"/>
        <v>21.3</v>
      </c>
    </row>
    <row r="38" spans="1:4" x14ac:dyDescent="0.2">
      <c r="A38" s="183" t="s">
        <v>734</v>
      </c>
      <c r="B38" s="185" t="s">
        <v>729</v>
      </c>
      <c r="C38" s="179">
        <f>ROUND(SUM('DOE25'!F140:J140)-SUM('DOE25'!F117:F119),0)</f>
        <v>63242</v>
      </c>
      <c r="D38" s="182">
        <f t="shared" si="1"/>
        <v>2.2999999999999998</v>
      </c>
    </row>
    <row r="39" spans="1:4" x14ac:dyDescent="0.2">
      <c r="A39">
        <v>4000</v>
      </c>
      <c r="B39" s="185" t="s">
        <v>730</v>
      </c>
      <c r="C39" s="179">
        <f>ROUND('DOE25'!F169+'DOE25'!G169+'DOE25'!H169+'DOE25'!I169,0)</f>
        <v>72446</v>
      </c>
      <c r="D39" s="182">
        <f t="shared" si="1"/>
        <v>2.6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2748065.84</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PITTSBURG SCHOOL DISTRICT</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2019-10-31T17:00:59Z</cp:lastPrinted>
  <dcterms:created xsi:type="dcterms:W3CDTF">1997-12-04T19:04:30Z</dcterms:created>
  <dcterms:modified xsi:type="dcterms:W3CDTF">2019-11-22T16:06:11Z</dcterms:modified>
</cp:coreProperties>
</file>