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41" i="1" l="1"/>
  <c r="K526" i="1"/>
  <c r="H523" i="1"/>
  <c r="K521" i="1"/>
  <c r="J521" i="1"/>
  <c r="H521" i="1"/>
  <c r="G521" i="1"/>
  <c r="F521" i="1"/>
  <c r="H197" i="1"/>
  <c r="H233" i="1"/>
  <c r="H198" i="1"/>
  <c r="H208" i="1"/>
  <c r="H244" i="1"/>
  <c r="H591" i="1"/>
  <c r="I277" i="1"/>
  <c r="I521" i="1" s="1"/>
  <c r="H282" i="1"/>
  <c r="H155" i="1"/>
  <c r="H277" i="1"/>
  <c r="H22" i="1"/>
  <c r="H13" i="1"/>
  <c r="G498" i="1"/>
  <c r="F110" i="1"/>
  <c r="I198" i="1"/>
  <c r="F120" i="1"/>
  <c r="F12" i="1"/>
  <c r="B20" i="12" l="1"/>
  <c r="B10" i="12"/>
  <c r="G205" i="1"/>
  <c r="F24" i="1"/>
  <c r="I197" i="1"/>
  <c r="F498" i="1"/>
  <c r="G439" i="1"/>
  <c r="F439" i="1"/>
  <c r="F459" i="1" s="1"/>
  <c r="F10" i="1" l="1"/>
  <c r="F9" i="1"/>
  <c r="J96" i="1"/>
  <c r="H396" i="1"/>
  <c r="H395" i="1"/>
  <c r="F160" i="1"/>
  <c r="F126" i="1"/>
  <c r="F96" i="1"/>
  <c r="K204" i="1"/>
  <c r="I204" i="1"/>
  <c r="H204" i="1"/>
  <c r="F204" i="1"/>
  <c r="I203" i="1"/>
  <c r="H203" i="1"/>
  <c r="G203" i="1"/>
  <c r="F203" i="1"/>
  <c r="J202" i="1"/>
  <c r="J526" i="1" s="1"/>
  <c r="I202" i="1"/>
  <c r="I526" i="1" s="1"/>
  <c r="H202" i="1"/>
  <c r="H526" i="1" s="1"/>
  <c r="G202" i="1"/>
  <c r="G526" i="1" s="1"/>
  <c r="F202" i="1"/>
  <c r="F526" i="1" s="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B2" i="14" l="1"/>
  <c r="A2" i="14"/>
  <c r="F33" i="13" l="1"/>
  <c r="C45" i="2" l="1"/>
  <c r="C37" i="10" l="1"/>
  <c r="F40" i="2" l="1"/>
  <c r="D39" i="2"/>
  <c r="G655" i="1"/>
  <c r="F48" i="2"/>
  <c r="E48" i="2"/>
  <c r="D48" i="2"/>
  <c r="C48" i="2"/>
  <c r="F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C119" i="2" s="1"/>
  <c r="L239" i="1"/>
  <c r="G12" i="13"/>
  <c r="H12" i="13"/>
  <c r="L205" i="1"/>
  <c r="C18" i="10" s="1"/>
  <c r="L223" i="1"/>
  <c r="L241" i="1"/>
  <c r="G14" i="13"/>
  <c r="H14" i="13"/>
  <c r="L207" i="1"/>
  <c r="L225" i="1"/>
  <c r="L243" i="1"/>
  <c r="G15" i="13"/>
  <c r="H15" i="13"/>
  <c r="L208" i="1"/>
  <c r="L226" i="1"/>
  <c r="L244" i="1"/>
  <c r="G651" i="1" s="1"/>
  <c r="G17" i="13"/>
  <c r="H17" i="13"/>
  <c r="L251" i="1"/>
  <c r="G18" i="13"/>
  <c r="H18" i="13"/>
  <c r="L252" i="1"/>
  <c r="G19" i="13"/>
  <c r="H19" i="13"/>
  <c r="L253" i="1"/>
  <c r="G29" i="13"/>
  <c r="H29" i="13"/>
  <c r="L358" i="1"/>
  <c r="F661" i="1" s="1"/>
  <c r="L359" i="1"/>
  <c r="L360" i="1"/>
  <c r="I367" i="1"/>
  <c r="J290" i="1"/>
  <c r="J309" i="1"/>
  <c r="J328" i="1"/>
  <c r="K290" i="1"/>
  <c r="K309" i="1"/>
  <c r="K328" i="1"/>
  <c r="L276" i="1"/>
  <c r="L277" i="1"/>
  <c r="L278" i="1"/>
  <c r="C12" i="10" s="1"/>
  <c r="L279" i="1"/>
  <c r="L281" i="1"/>
  <c r="L282" i="1"/>
  <c r="L283" i="1"/>
  <c r="L284" i="1"/>
  <c r="L285" i="1"/>
  <c r="L286" i="1"/>
  <c r="L287" i="1"/>
  <c r="E124" i="2" s="1"/>
  <c r="L288" i="1"/>
  <c r="L295" i="1"/>
  <c r="L296" i="1"/>
  <c r="L297" i="1"/>
  <c r="L298" i="1"/>
  <c r="L300" i="1"/>
  <c r="L301" i="1"/>
  <c r="L302" i="1"/>
  <c r="L303" i="1"/>
  <c r="L304" i="1"/>
  <c r="L305" i="1"/>
  <c r="L306" i="1"/>
  <c r="G662" i="1" s="1"/>
  <c r="L307" i="1"/>
  <c r="L314" i="1"/>
  <c r="L315" i="1"/>
  <c r="L316" i="1"/>
  <c r="L317" i="1"/>
  <c r="L319" i="1"/>
  <c r="L320" i="1"/>
  <c r="L321" i="1"/>
  <c r="L322" i="1"/>
  <c r="L323" i="1"/>
  <c r="L324" i="1"/>
  <c r="L325" i="1"/>
  <c r="L326" i="1"/>
  <c r="L333" i="1"/>
  <c r="L334" i="1"/>
  <c r="L335" i="1"/>
  <c r="L260" i="1"/>
  <c r="C32" i="10" s="1"/>
  <c r="L261" i="1"/>
  <c r="C132" i="2" s="1"/>
  <c r="L341" i="1"/>
  <c r="L342" i="1"/>
  <c r="E132" i="2" s="1"/>
  <c r="L255" i="1"/>
  <c r="C130" i="2" s="1"/>
  <c r="L336" i="1"/>
  <c r="E130" i="2" s="1"/>
  <c r="C11" i="13"/>
  <c r="C10" i="13"/>
  <c r="C9" i="13"/>
  <c r="L361" i="1"/>
  <c r="B4" i="12"/>
  <c r="B36" i="12"/>
  <c r="C36" i="12"/>
  <c r="C39" i="12" s="1"/>
  <c r="C40" i="12" s="1"/>
  <c r="B40" i="12"/>
  <c r="B27" i="12"/>
  <c r="C27" i="12"/>
  <c r="B31" i="12"/>
  <c r="C31" i="12"/>
  <c r="B9" i="12"/>
  <c r="B13" i="12"/>
  <c r="C9" i="12"/>
  <c r="C12" i="12" s="1"/>
  <c r="C13" i="12" s="1"/>
  <c r="B18" i="12"/>
  <c r="B22" i="12"/>
  <c r="C18" i="12"/>
  <c r="C22" i="12"/>
  <c r="B1" i="12"/>
  <c r="L387" i="1"/>
  <c r="L388" i="1"/>
  <c r="L389" i="1"/>
  <c r="L390" i="1"/>
  <c r="L391" i="1"/>
  <c r="L392" i="1"/>
  <c r="L395" i="1"/>
  <c r="L396" i="1"/>
  <c r="L401" i="1" s="1"/>
  <c r="L397" i="1"/>
  <c r="L398" i="1"/>
  <c r="L399" i="1"/>
  <c r="L400" i="1"/>
  <c r="L403" i="1"/>
  <c r="L404" i="1"/>
  <c r="L405" i="1"/>
  <c r="L406" i="1"/>
  <c r="L266" i="1"/>
  <c r="J60" i="1"/>
  <c r="G56" i="2" s="1"/>
  <c r="G59" i="2"/>
  <c r="G61" i="2"/>
  <c r="G62" i="2" s="1"/>
  <c r="F2" i="11"/>
  <c r="L613" i="1"/>
  <c r="H663" i="1" s="1"/>
  <c r="L612" i="1"/>
  <c r="G663" i="1" s="1"/>
  <c r="L611" i="1"/>
  <c r="C40" i="10"/>
  <c r="F60" i="1"/>
  <c r="G60" i="1"/>
  <c r="H60" i="1"/>
  <c r="H112" i="1" s="1"/>
  <c r="I60" i="1"/>
  <c r="F79" i="1"/>
  <c r="C57" i="2" s="1"/>
  <c r="F94" i="1"/>
  <c r="F111" i="1"/>
  <c r="G111" i="1"/>
  <c r="G112" i="1" s="1"/>
  <c r="H79" i="1"/>
  <c r="H94" i="1"/>
  <c r="H111" i="1"/>
  <c r="I111" i="1"/>
  <c r="I112" i="1" s="1"/>
  <c r="J111" i="1"/>
  <c r="J112" i="1" s="1"/>
  <c r="F121" i="1"/>
  <c r="F136" i="1"/>
  <c r="G121" i="1"/>
  <c r="G136" i="1"/>
  <c r="H121" i="1"/>
  <c r="H136" i="1"/>
  <c r="H140" i="1" s="1"/>
  <c r="I121" i="1"/>
  <c r="I136" i="1"/>
  <c r="J121" i="1"/>
  <c r="J136" i="1"/>
  <c r="J140" i="1" s="1"/>
  <c r="F147" i="1"/>
  <c r="F162" i="1"/>
  <c r="F169" i="1" s="1"/>
  <c r="G147" i="1"/>
  <c r="G162" i="1"/>
  <c r="H147" i="1"/>
  <c r="H162" i="1"/>
  <c r="H169" i="1" s="1"/>
  <c r="I147" i="1"/>
  <c r="I162" i="1"/>
  <c r="I169" i="1" s="1"/>
  <c r="L250" i="1"/>
  <c r="C113" i="2" s="1"/>
  <c r="L332" i="1"/>
  <c r="L254" i="1"/>
  <c r="L268" i="1"/>
  <c r="L269" i="1"/>
  <c r="L349" i="1"/>
  <c r="L350" i="1"/>
  <c r="E143" i="2" s="1"/>
  <c r="I665" i="1"/>
  <c r="I670" i="1"/>
  <c r="H662"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G552" i="1" s="1"/>
  <c r="L528" i="1"/>
  <c r="G551" i="1" s="1"/>
  <c r="L531" i="1"/>
  <c r="H549" i="1" s="1"/>
  <c r="L532" i="1"/>
  <c r="H550" i="1" s="1"/>
  <c r="L533" i="1"/>
  <c r="H551" i="1" s="1"/>
  <c r="H552" i="1" s="1"/>
  <c r="L536" i="1"/>
  <c r="I549" i="1" s="1"/>
  <c r="L537" i="1"/>
  <c r="I550" i="1" s="1"/>
  <c r="I552"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D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D81" i="2" s="1"/>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E113" i="2"/>
  <c r="C114" i="2"/>
  <c r="D115" i="2"/>
  <c r="F115" i="2"/>
  <c r="G115" i="2"/>
  <c r="E120" i="2"/>
  <c r="E121" i="2"/>
  <c r="E123" i="2"/>
  <c r="C125" i="2"/>
  <c r="E125" i="2"/>
  <c r="F128" i="2"/>
  <c r="G128" i="2"/>
  <c r="D134" i="2"/>
  <c r="D144" i="2" s="1"/>
  <c r="E134" i="2"/>
  <c r="F134" i="2"/>
  <c r="K419" i="1"/>
  <c r="K427" i="1"/>
  <c r="K433" i="1"/>
  <c r="L263" i="1"/>
  <c r="C135" i="2" s="1"/>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G32" i="1"/>
  <c r="G48" i="1" s="1"/>
  <c r="H32" i="1"/>
  <c r="H48" i="1" s="1"/>
  <c r="E47" i="2" s="1"/>
  <c r="I32"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9" i="1" s="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H460" i="1"/>
  <c r="F461" i="1"/>
  <c r="H639" i="1" s="1"/>
  <c r="H461" i="1"/>
  <c r="I470"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I605" i="1"/>
  <c r="J605" i="1"/>
  <c r="F614" i="1"/>
  <c r="G614" i="1"/>
  <c r="H614" i="1"/>
  <c r="I614" i="1"/>
  <c r="J614" i="1"/>
  <c r="K614" i="1"/>
  <c r="L614" i="1"/>
  <c r="G619" i="1"/>
  <c r="G620" i="1"/>
  <c r="H630" i="1"/>
  <c r="H634" i="1"/>
  <c r="H636" i="1"/>
  <c r="H638" i="1"/>
  <c r="G641" i="1"/>
  <c r="J641" i="1" s="1"/>
  <c r="H641" i="1"/>
  <c r="G643" i="1"/>
  <c r="H643" i="1"/>
  <c r="G644" i="1"/>
  <c r="H644" i="1"/>
  <c r="G645" i="1"/>
  <c r="H645" i="1"/>
  <c r="J645" i="1" s="1"/>
  <c r="H647" i="1"/>
  <c r="G650" i="1"/>
  <c r="G652" i="1"/>
  <c r="H652" i="1"/>
  <c r="G653" i="1"/>
  <c r="H653" i="1"/>
  <c r="G654" i="1"/>
  <c r="H654" i="1"/>
  <c r="H655" i="1"/>
  <c r="D31" i="2"/>
  <c r="E78" i="2"/>
  <c r="J571" i="1"/>
  <c r="J643" i="1"/>
  <c r="G338" i="1"/>
  <c r="G352" i="1" s="1"/>
  <c r="F571" i="1"/>
  <c r="G22" i="2"/>
  <c r="L560" i="1"/>
  <c r="F338" i="1"/>
  <c r="F352" i="1" s="1"/>
  <c r="H192" i="1"/>
  <c r="C139" i="2" l="1"/>
  <c r="J468" i="1"/>
  <c r="J257" i="1"/>
  <c r="J271" i="1" s="1"/>
  <c r="H604" i="1" s="1"/>
  <c r="F18" i="2"/>
  <c r="G625" i="1"/>
  <c r="J651" i="1"/>
  <c r="L529" i="1"/>
  <c r="H545" i="1"/>
  <c r="E103" i="2"/>
  <c r="E119" i="2"/>
  <c r="C112" i="2"/>
  <c r="G545" i="1"/>
  <c r="J625" i="1"/>
  <c r="J634" i="1"/>
  <c r="K338" i="1"/>
  <c r="K352" i="1" s="1"/>
  <c r="C91" i="2"/>
  <c r="E56" i="2"/>
  <c r="J552" i="1"/>
  <c r="L351" i="1"/>
  <c r="F130" i="2"/>
  <c r="F144" i="2" s="1"/>
  <c r="F145" i="2" s="1"/>
  <c r="L393" i="1"/>
  <c r="C138" i="2" s="1"/>
  <c r="E114" i="2"/>
  <c r="L328" i="1"/>
  <c r="L309" i="1"/>
  <c r="E122" i="2"/>
  <c r="E118" i="2"/>
  <c r="L247" i="1"/>
  <c r="D37" i="14" s="1"/>
  <c r="F37" i="14" s="1"/>
  <c r="F36" i="14" s="1"/>
  <c r="F257" i="1"/>
  <c r="K257" i="1"/>
  <c r="G192" i="1"/>
  <c r="F192" i="1"/>
  <c r="D18" i="2"/>
  <c r="C26" i="10"/>
  <c r="K545" i="1"/>
  <c r="J545" i="1"/>
  <c r="K549" i="1"/>
  <c r="F552" i="1"/>
  <c r="C110" i="2"/>
  <c r="H51" i="1"/>
  <c r="H52" i="1" s="1"/>
  <c r="H619" i="1" s="1"/>
  <c r="J619" i="1" s="1"/>
  <c r="A40" i="12"/>
  <c r="F50" i="1"/>
  <c r="K598" i="1"/>
  <c r="G647" i="1" s="1"/>
  <c r="J647" i="1" s="1"/>
  <c r="G640" i="1"/>
  <c r="G459" i="1"/>
  <c r="D91" i="2"/>
  <c r="E31" i="2"/>
  <c r="G164" i="2"/>
  <c r="G161" i="2"/>
  <c r="G157" i="2"/>
  <c r="G156" i="2"/>
  <c r="G81" i="2"/>
  <c r="F78" i="2"/>
  <c r="F81" i="2" s="1"/>
  <c r="A31" i="12"/>
  <c r="D18" i="13"/>
  <c r="C18" i="13" s="1"/>
  <c r="D15" i="13"/>
  <c r="C15" i="13" s="1"/>
  <c r="E13" i="13"/>
  <c r="C13" i="13" s="1"/>
  <c r="C18" i="2"/>
  <c r="J655" i="1"/>
  <c r="J644" i="1"/>
  <c r="E62" i="2"/>
  <c r="E63" i="2" s="1"/>
  <c r="D62" i="2"/>
  <c r="D63" i="2" s="1"/>
  <c r="C78" i="2"/>
  <c r="F112" i="1"/>
  <c r="C70" i="2"/>
  <c r="L290" i="1"/>
  <c r="L362" i="1"/>
  <c r="G661" i="1"/>
  <c r="K271" i="1"/>
  <c r="C131" i="2"/>
  <c r="H257" i="1"/>
  <c r="H271" i="1" s="1"/>
  <c r="C20" i="10"/>
  <c r="C121" i="2"/>
  <c r="C120" i="2"/>
  <c r="D6" i="13"/>
  <c r="C6" i="13" s="1"/>
  <c r="C13" i="10"/>
  <c r="C11" i="10"/>
  <c r="I257" i="1"/>
  <c r="I271" i="1" s="1"/>
  <c r="L211" i="1"/>
  <c r="J639" i="1"/>
  <c r="K551" i="1"/>
  <c r="I25" i="13"/>
  <c r="K550" i="1"/>
  <c r="L534" i="1"/>
  <c r="K50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E128" i="2"/>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F31" i="2"/>
  <c r="C31" i="2"/>
  <c r="E18" i="2"/>
  <c r="E144" i="2"/>
  <c r="F50" i="2"/>
  <c r="F51" i="2" s="1"/>
  <c r="C24" i="10"/>
  <c r="H31" i="13"/>
  <c r="H33" i="13" s="1"/>
  <c r="I338" i="1"/>
  <c r="I352" i="1" s="1"/>
  <c r="J650" i="1"/>
  <c r="L407" i="1"/>
  <c r="C140" i="2" s="1"/>
  <c r="C141" i="2" s="1"/>
  <c r="L571" i="1"/>
  <c r="I192" i="1"/>
  <c r="E91" i="2"/>
  <c r="L408" i="1"/>
  <c r="G637" i="1" s="1"/>
  <c r="J654" i="1"/>
  <c r="J653" i="1"/>
  <c r="G21" i="2"/>
  <c r="G31" i="2" s="1"/>
  <c r="J32" i="1"/>
  <c r="L434" i="1"/>
  <c r="G638" i="1" s="1"/>
  <c r="J638" i="1" s="1"/>
  <c r="J434" i="1"/>
  <c r="F434" i="1"/>
  <c r="K434" i="1"/>
  <c r="G134" i="2" s="1"/>
  <c r="G144" i="2" s="1"/>
  <c r="G145" i="2" s="1"/>
  <c r="G31" i="13"/>
  <c r="J193" i="1"/>
  <c r="G646" i="1" s="1"/>
  <c r="H193" i="1"/>
  <c r="G169" i="1"/>
  <c r="C39" i="10" s="1"/>
  <c r="G140" i="1"/>
  <c r="F140" i="1"/>
  <c r="G63" i="2"/>
  <c r="G104" i="2" s="1"/>
  <c r="G42" i="2"/>
  <c r="G16" i="2"/>
  <c r="G18" i="2" s="1"/>
  <c r="J19" i="1"/>
  <c r="G621" i="1" s="1"/>
  <c r="F545" i="1"/>
  <c r="H434" i="1"/>
  <c r="J620" i="1"/>
  <c r="D103" i="2"/>
  <c r="I140" i="1"/>
  <c r="I193" i="1" s="1"/>
  <c r="G630" i="1" s="1"/>
  <c r="J630" i="1" s="1"/>
  <c r="A22" i="12"/>
  <c r="J652" i="1"/>
  <c r="G571" i="1"/>
  <c r="I434" i="1"/>
  <c r="G434" i="1"/>
  <c r="K604" i="1" l="1"/>
  <c r="K605" i="1" s="1"/>
  <c r="G648" i="1" s="1"/>
  <c r="H605" i="1"/>
  <c r="F663" i="1"/>
  <c r="I663" i="1" s="1"/>
  <c r="F104" i="2"/>
  <c r="G36" i="14"/>
  <c r="H36" i="14" s="1"/>
  <c r="I36" i="14" s="1"/>
  <c r="H660" i="1"/>
  <c r="H631" i="1"/>
  <c r="H637" i="1"/>
  <c r="J637" i="1" s="1"/>
  <c r="J470" i="1"/>
  <c r="J476" i="1" s="1"/>
  <c r="H626" i="1" s="1"/>
  <c r="C27" i="10"/>
  <c r="G472" i="1"/>
  <c r="L545" i="1"/>
  <c r="C115" i="2"/>
  <c r="L338" i="1"/>
  <c r="L352" i="1" s="1"/>
  <c r="E5" i="14"/>
  <c r="G629" i="1"/>
  <c r="H468" i="1"/>
  <c r="G624" i="1"/>
  <c r="L257" i="1"/>
  <c r="L271" i="1" s="1"/>
  <c r="F472" i="1" s="1"/>
  <c r="D5" i="14"/>
  <c r="F51" i="1"/>
  <c r="C49" i="2"/>
  <c r="C50" i="2" s="1"/>
  <c r="C51" i="2" s="1"/>
  <c r="I459" i="1"/>
  <c r="G460" i="1"/>
  <c r="G461" i="1" s="1"/>
  <c r="H640" i="1" s="1"/>
  <c r="J640" i="1" s="1"/>
  <c r="E51" i="2"/>
  <c r="G33" i="13"/>
  <c r="E33" i="13"/>
  <c r="D35" i="13" s="1"/>
  <c r="G51" i="1"/>
  <c r="D47" i="2"/>
  <c r="D50" i="2" s="1"/>
  <c r="D51" i="2" s="1"/>
  <c r="D104" i="2"/>
  <c r="C144" i="2"/>
  <c r="H646" i="1"/>
  <c r="E104" i="2"/>
  <c r="C36" i="10"/>
  <c r="F193" i="1"/>
  <c r="C81" i="2"/>
  <c r="C63" i="2"/>
  <c r="H648" i="1"/>
  <c r="J648" i="1" s="1"/>
  <c r="E145" i="2"/>
  <c r="G635" i="1"/>
  <c r="I661" i="1"/>
  <c r="H664" i="1"/>
  <c r="H667" i="1" s="1"/>
  <c r="C128" i="2"/>
  <c r="F660" i="1"/>
  <c r="F664" i="1" s="1"/>
  <c r="F667" i="1" s="1"/>
  <c r="G4" i="14"/>
  <c r="D31" i="13"/>
  <c r="C31" i="13" s="1"/>
  <c r="G660" i="1"/>
  <c r="G664" i="1" s="1"/>
  <c r="G667" i="1" s="1"/>
  <c r="C25" i="13"/>
  <c r="I33" i="13"/>
  <c r="K552" i="1"/>
  <c r="C28" i="10"/>
  <c r="D23" i="10" s="1"/>
  <c r="H24" i="14"/>
  <c r="I24" i="14" s="1"/>
  <c r="G631" i="1"/>
  <c r="J631" i="1" s="1"/>
  <c r="J646" i="1"/>
  <c r="G193" i="1"/>
  <c r="C38" i="10"/>
  <c r="G474" i="1" l="1"/>
  <c r="H635" i="1"/>
  <c r="G628" i="1"/>
  <c r="G468" i="1"/>
  <c r="J635" i="1"/>
  <c r="C145" i="2"/>
  <c r="F5" i="14"/>
  <c r="F4" i="14" s="1"/>
  <c r="G633" i="1"/>
  <c r="H472" i="1"/>
  <c r="H470" i="1"/>
  <c r="H629" i="1"/>
  <c r="J629" i="1" s="1"/>
  <c r="H4" i="14"/>
  <c r="I4" i="14" s="1"/>
  <c r="G632" i="1"/>
  <c r="C104" i="2"/>
  <c r="G627" i="1"/>
  <c r="F468" i="1"/>
  <c r="G622" i="1"/>
  <c r="F52" i="1"/>
  <c r="H617" i="1" s="1"/>
  <c r="J617" i="1" s="1"/>
  <c r="H632" i="1"/>
  <c r="F474" i="1"/>
  <c r="J48" i="1"/>
  <c r="I460" i="1"/>
  <c r="I461" i="1" s="1"/>
  <c r="H642" i="1" s="1"/>
  <c r="J642" i="1" s="1"/>
  <c r="G623" i="1"/>
  <c r="G52" i="1"/>
  <c r="H618" i="1" s="1"/>
  <c r="J618" i="1" s="1"/>
  <c r="I660" i="1"/>
  <c r="I664" i="1" s="1"/>
  <c r="I672" i="1" s="1"/>
  <c r="C7" i="10" s="1"/>
  <c r="H672" i="1"/>
  <c r="C6" i="10" s="1"/>
  <c r="G672" i="1"/>
  <c r="C5" i="10" s="1"/>
  <c r="F672" i="1"/>
  <c r="C4" i="10" s="1"/>
  <c r="D25" i="10"/>
  <c r="D22" i="10"/>
  <c r="D18" i="10"/>
  <c r="D27" i="10"/>
  <c r="D15" i="10"/>
  <c r="D21" i="10"/>
  <c r="D24" i="10"/>
  <c r="D20" i="10"/>
  <c r="D11" i="10"/>
  <c r="D12" i="10"/>
  <c r="D13" i="10"/>
  <c r="D17" i="10"/>
  <c r="D19" i="10"/>
  <c r="D10" i="10"/>
  <c r="D26" i="10"/>
  <c r="C30" i="10"/>
  <c r="D16" i="10"/>
  <c r="D33" i="13"/>
  <c r="D36" i="13" s="1"/>
  <c r="C41" i="10"/>
  <c r="D38" i="10" s="1"/>
  <c r="G470" i="1" l="1"/>
  <c r="G476" i="1" s="1"/>
  <c r="H623" i="1" s="1"/>
  <c r="J623" i="1" s="1"/>
  <c r="H628" i="1"/>
  <c r="J628" i="1" s="1"/>
  <c r="J632" i="1"/>
  <c r="H474" i="1"/>
  <c r="H476" i="1" s="1"/>
  <c r="H624" i="1" s="1"/>
  <c r="J624" i="1" s="1"/>
  <c r="H633" i="1"/>
  <c r="J633" i="1" s="1"/>
  <c r="F470" i="1"/>
  <c r="F476" i="1" s="1"/>
  <c r="H622" i="1" s="1"/>
  <c r="J622" i="1" s="1"/>
  <c r="H627" i="1"/>
  <c r="J627" i="1" s="1"/>
  <c r="G47" i="2"/>
  <c r="G50" i="2" s="1"/>
  <c r="G51" i="2" s="1"/>
  <c r="J51" i="1"/>
  <c r="I667" i="1"/>
  <c r="D28" i="10"/>
  <c r="D37" i="10"/>
  <c r="D36" i="10"/>
  <c r="D35" i="10"/>
  <c r="D40" i="10"/>
  <c r="D39" i="10"/>
  <c r="G626" i="1" l="1"/>
  <c r="J52" i="1"/>
  <c r="H621" i="1" s="1"/>
  <c r="J621" i="1" s="1"/>
  <c r="D41" i="10"/>
  <c r="J626" i="1" l="1"/>
  <c r="H65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<sst xmlns="http://schemas.openxmlformats.org/spreadsheetml/2006/main" count="5512" uniqueCount="1618">
  <si>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</si>
  <si>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</si>
  <si>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</si>
  <si>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</si>
  <si>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</si>
  <si>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</si>
  <si>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</si>
  <si>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</si>
  <si>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</si>
  <si>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</si>
  <si>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</si>
  <si>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</si>
  <si>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</si>
  <si>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</si>
  <si>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</si>
  <si>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</si>
  <si>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</si>
  <si>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</si>
  <si>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</si>
  <si>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</si>
  <si>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</si>
  <si>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</si>
  <si>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</si>
  <si>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</si>
  <si>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</si>
  <si>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</si>
  <si>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</si>
  <si>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</si>
  <si>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</si>
  <si>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</si>
  <si>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</si>
  <si>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</si>
  <si>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</si>
  <si>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</si>
  <si>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</si>
  <si>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</si>
  <si>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</si>
  <si>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</si>
  <si>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</si>
  <si>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</si>
  <si>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</si>
  <si>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</si>
  <si>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</si>
  <si>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</si>
  <si>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</si>
  <si>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</si>
  <si>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</si>
  <si>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</si>
  <si>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</si>
  <si>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</si>
  <si>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</si>
  <si>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</si>
  <si>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</si>
  <si>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</si>
  <si>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</si>
  <si>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</si>
  <si>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</si>
  <si>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</si>
  <si>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</si>
  <si>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</si>
  <si>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</si>
  <si>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</si>
  <si>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</si>
  <si>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</si>
  <si>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</si>
  <si>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</si>
  <si>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</si>
  <si>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</si>
  <si>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</si>
  <si>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</si>
  <si>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</si>
  <si>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</si>
  <si>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</si>
  <si>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</si>
  <si>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</si>
  <si>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</si>
  <si>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</si>
  <si>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</si>
  <si>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</si>
  <si>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</si>
  <si>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</si>
  <si>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</si>
  <si>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</si>
  <si>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</si>
  <si>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</si>
  <si>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</si>
  <si>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</si>
  <si>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</si>
  <si>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</si>
  <si>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</si>
  <si>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</si>
  <si>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</si>
  <si>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</si>
  <si>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</si>
  <si>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</si>
  <si>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</si>
  <si>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</si>
  <si>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</si>
  <si>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</si>
  <si>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</si>
  <si>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</si>
  <si>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</si>
  <si>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</si>
  <si>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</si>
  <si>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</si>
  <si>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</si>
  <si>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</si>
  <si>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</si>
  <si>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</si>
  <si>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</si>
  <si>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</si>
  <si>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</si>
  <si>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</si>
  <si>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</si>
  <si>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</si>
  <si>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</si>
  <si>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</si>
  <si>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</si>
  <si>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</si>
  <si>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</si>
  <si>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</si>
  <si>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</si>
  <si>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</si>
  <si>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</si>
  <si>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</si>
  <si>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</si>
  <si>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</si>
  <si>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</si>
  <si>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</si>
  <si>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</si>
  <si>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</si>
  <si>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</si>
  <si>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</si>
  <si>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</si>
  <si>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</si>
  <si>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</si>
  <si>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</si>
  <si>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</si>
  <si>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</si>
  <si>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</si>
  <si>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</si>
  <si>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</si>
  <si>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</si>
  <si>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</si>
  <si>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</si>
  <si>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</si>
  <si>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</si>
  <si>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</si>
  <si>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</si>
  <si>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</si>
  <si>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</si>
  <si>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</si>
  <si>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</si>
  <si>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</si>
  <si>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</si>
  <si>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</si>
  <si>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</si>
  <si>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</si>
  <si>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</si>
  <si>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</si>
  <si>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</si>
  <si>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</si>
  <si>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</si>
  <si>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</si>
  <si>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</si>
  <si>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</si>
  <si>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</si>
  <si>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</si>
  <si>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</si>
  <si>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</si>
  <si>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</si>
  <si>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</si>
  <si>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</si>
  <si>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</si>
  <si>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</si>
  <si>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</si>
  <si>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</si>
  <si>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</si>
  <si>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</si>
  <si>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</si>
  <si>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</si>
  <si>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</si>
  <si>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</si>
  <si>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</si>
  <si>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</si>
  <si>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</si>
  <si>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</si>
  <si>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</si>
  <si>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</si>
  <si>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</si>
  <si>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</si>
  <si>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</si>
  <si>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</si>
  <si>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</si>
  <si>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</si>
  <si>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</si>
  <si>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</si>
  <si>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</si>
  <si>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</si>
  <si>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</si>
  <si>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</si>
  <si>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</si>
  <si>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</si>
  <si>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</si>
  <si>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</si>
  <si>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</si>
  <si>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</si>
  <si>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</si>
  <si>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</si>
  <si>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</si>
  <si>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</si>
  <si>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</si>
  <si>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</si>
  <si>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</si>
  <si>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</si>
  <si>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</si>
  <si>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</si>
  <si>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</si>
  <si>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</si>
  <si>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</si>
  <si>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</si>
  <si>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</si>
  <si>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</si>
  <si>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</si>
  <si>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</si>
  <si>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</si>
  <si>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</si>
  <si>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</si>
  <si>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</si>
  <si>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</si>
  <si>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</si>
  <si>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</si>
  <si>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</si>
  <si>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</si>
  <si>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</si>
  <si>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</si>
  <si>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</si>
  <si>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</si>
  <si>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</si>
  <si>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</si>
  <si>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</si>
  <si>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</si>
  <si>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</si>
  <si>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</si>
  <si>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</si>
  <si>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</si>
  <si>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</si>
  <si>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</si>
  <si>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</si>
  <si>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</si>
  <si>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</si>
  <si>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</si>
  <si>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</si>
  <si>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</si>
  <si>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</si>
  <si>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</si>
  <si>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</si>
  <si>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</si>
  <si>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</si>
  <si>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</si>
  <si>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</si>
  <si>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</si>
  <si>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</si>
  <si>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</si>
  <si>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</si>
  <si>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</si>
  <si>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</si>
  <si>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</si>
  <si>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</si>
  <si>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</si>
  <si>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</si>
  <si>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</si>
  <si>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</si>
  <si>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</si>
  <si>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</si>
  <si>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</si>
  <si>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</si>
  <si>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</si>
  <si>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</si>
  <si>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</si>
  <si>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</si>
  <si>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</si>
  <si>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</si>
  <si>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</si>
  <si>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</si>
  <si>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</si>
  <si>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</si>
  <si>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</si>
  <si>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</si>
  <si>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</si>
  <si>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</si>
  <si>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</si>
  <si>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</si>
  <si>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</si>
  <si>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</si>
  <si>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</si>
  <si>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</si>
  <si>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</si>
  <si>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</si>
  <si>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</si>
  <si>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</si>
  <si>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</si>
  <si>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</si>
  <si>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</si>
  <si>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</si>
  <si>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</si>
  <si>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</si>
  <si>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</si>
  <si>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</si>
  <si>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</si>
  <si>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</si>
  <si>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</si>
  <si>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</si>
  <si>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</si>
  <si>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</si>
  <si>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</si>
  <si>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</si>
  <si>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</si>
  <si>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</si>
  <si>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</si>
  <si>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</si>
  <si>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</si>
  <si>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</si>
  <si>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</si>
  <si>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</si>
  <si>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</si>
  <si>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</si>
  <si>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</si>
  <si>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</si>
  <si>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</si>
  <si>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</si>
  <si>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</si>
  <si>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</si>
  <si>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</si>
  <si>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</si>
  <si>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</si>
  <si>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</si>
  <si>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</si>
  <si>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</si>
  <si>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</si>
  <si>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</si>
  <si>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</si>
  <si>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</si>
  <si>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</si>
  <si>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</si>
  <si>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</si>
  <si>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</si>
  <si>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</si>
  <si>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</si>
  <si>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</si>
  <si>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</si>
  <si>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</si>
  <si>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</si>
  <si>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</si>
  <si>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</si>
  <si>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</si>
  <si>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</si>
  <si>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</si>
  <si>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</si>
  <si>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</si>
  <si>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</si>
  <si>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</si>
  <si>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</si>
  <si>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</si>
  <si>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</si>
  <si>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</si>
  <si>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</si>
  <si>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</si>
  <si>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</si>
  <si>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</si>
  <si>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</si>
  <si>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</si>
  <si>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</si>
  <si>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</si>
  <si>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</si>
  <si>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</si>
  <si>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</si>
  <si>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</si>
  <si>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</si>
  <si>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</si>
  <si>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</si>
  <si>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</si>
  <si>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</si>
  <si>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</si>
  <si>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</si>
  <si>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</si>
  <si>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</si>
  <si>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</si>
  <si>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</si>
  <si>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</si>
  <si>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</si>
  <si>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</si>
  <si>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</si>
  <si>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</si>
  <si>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</si>
  <si>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</si>
  <si>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</si>
  <si>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</si>
  <si>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</si>
  <si>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</si>
  <si>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</si>
  <si>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</si>
  <si>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</si>
  <si>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</si>
  <si>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</si>
  <si>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</si>
  <si>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</si>
  <si>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</si>
  <si>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</si>
  <si>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</si>
  <si>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</si>
  <si>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</si>
  <si>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</si>
  <si>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</si>
  <si>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</si>
  <si>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</si>
  <si>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</si>
  <si>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</si>
  <si>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</si>
  <si>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</si>
  <si>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</si>
  <si>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</si>
  <si>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</si>
  <si>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</si>
  <si>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</si>
  <si>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</si>
  <si>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</si>
  <si>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</si>
  <si>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</si>
  <si>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</si>
  <si>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</si>
  <si>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</si>
  <si>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</si>
  <si>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</si>
  <si>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</si>
  <si>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</si>
  <si>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</si>
  <si>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</si>
  <si>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</si>
  <si>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</si>
  <si>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</si>
  <si>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</si>
  <si>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</si>
  <si>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</si>
  <si>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</si>
  <si>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</si>
  <si>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</si>
  <si>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</si>
  <si>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</si>
  <si>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</si>
  <si>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</si>
  <si>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</si>
  <si>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</si>
  <si>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</si>
  <si>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</si>
  <si>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</si>
  <si>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</si>
  <si>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</si>
  <si>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</si>
  <si>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</si>
  <si>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</si>
  <si>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</si>
  <si>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</si>
  <si>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</si>
  <si>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</si>
  <si>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</si>
  <si>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</si>
  <si>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</si>
  <si>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</si>
  <si>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</si>
  <si>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</si>
  <si>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</si>
  <si>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</si>
  <si>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</si>
  <si>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</si>
  <si>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</si>
  <si>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</si>
  <si>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</si>
  <si>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</si>
  <si>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</si>
  <si>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</si>
  <si>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</si>
  <si>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</si>
  <si>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</si>
  <si>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</si>
  <si>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</si>
  <si>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</si>
  <si>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</si>
  <si>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</si>
  <si>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</si>
  <si>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</si>
  <si>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</si>
  <si>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</si>
  <si>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</si>
  <si>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</si>
  <si>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</si>
  <si>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</si>
  <si>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</si>
  <si>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</si>
  <si>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</si>
  <si>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</si>
  <si>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</si>
  <si>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</si>
  <si>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</si>
  <si>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</si>
  <si>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</si>
  <si>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</si>
  <si>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</si>
  <si>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</si>
  <si>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</si>
  <si>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</si>
  <si>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</si>
  <si>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</si>
  <si>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</si>
  <si>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</si>
  <si>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</si>
  <si>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</si>
  <si>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</si>
  <si>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</si>
  <si>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</si>
  <si>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</si>
  <si>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</si>
  <si>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</si>
  <si>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</si>
  <si>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</si>
  <si>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</si>
  <si>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</si>
  <si>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</si>
  <si>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</si>
  <si>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</si>
  <si>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</si>
  <si>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</si>
  <si>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</si>
  <si>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</si>
  <si>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</si>
  <si>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</si>
  <si>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</si>
  <si>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</si>
  <si>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</si>
  <si>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</si>
  <si>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</si>
  <si>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</si>
  <si>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</si>
  <si>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</si>
  <si>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</si>
  <si>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</si>
  <si>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</si>
  <si>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</si>
  <si>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</si>
  <si>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</si>
  <si>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</si>
  <si>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</si>
  <si>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</si>
  <si>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</si>
  <si>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</si>
  <si>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</si>
  <si>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</si>
  <si>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</si>
  <si>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</si>
  <si>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</si>
  <si>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</si>
  <si>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</si>
  <si>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</si>
  <si>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</si>
  <si>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</si>
  <si>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</si>
  <si>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</si>
  <si>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</si>
  <si>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</si>
  <si>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</si>
  <si>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</si>
  <si>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</si>
  <si>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</si>
  <si>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</si>
  <si>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</si>
  <si>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</si>
  <si>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</si>
  <si>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</si>
  <si>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</si>
  <si>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</si>
  <si>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</si>
  <si>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</si>
  <si>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</si>
  <si>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</si>
  <si>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</si>
  <si>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</si>
  <si>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</si>
  <si>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</si>
  <si>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</si>
  <si>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</si>
  <si>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</si>
  <si>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</si>
  <si>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</si>
  <si>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</si>
  <si>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</si>
  <si>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</si>
  <si>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</si>
  <si>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</si>
  <si>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</si>
  <si>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</si>
  <si>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</si>
  <si>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</si>
  <si>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</si>
  <si>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</si>
  <si>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</si>
  <si>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</si>
  <si>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</si>
  <si>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</si>
  <si>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</si>
  <si>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</si>
  <si>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</si>
  <si>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</si>
  <si>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</si>
  <si>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</si>
  <si>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</si>
  <si>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</si>
  <si>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</si>
  <si>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</si>
  <si>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</si>
  <si>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</si>
  <si>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</si>
  <si>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</si>
  <si>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</si>
  <si>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</si>
  <si>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</si>
  <si>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</si>
  <si>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</si>
  <si>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</si>
  <si>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</si>
  <si>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</si>
  <si>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</si>
  <si>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</si>
  <si>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</si>
  <si>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</si>
  <si>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</si>
  <si>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</si>
  <si>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</si>
  <si>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</si>
  <si>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</si>
  <si>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</si>
  <si>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</si>
  <si>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</si>
  <si>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</si>
  <si>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</si>
  <si>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</si>
  <si>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</si>
  <si>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</si>
  <si>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</si>
  <si>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</si>
  <si>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</si>
  <si>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</si>
  <si>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</si>
  <si>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</si>
  <si>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</si>
  <si>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</si>
  <si>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</si>
  <si>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</si>
  <si>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</si>
  <si>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</si>
  <si>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</si>
  <si>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</si>
  <si>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</si>
  <si>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</si>
  <si>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</si>
  <si>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</si>
  <si>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</si>
  <si>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</si>
  <si>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</si>
  <si>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</si>
  <si>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</si>
  <si>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</si>
  <si>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</si>
  <si>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</si>
  <si>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</si>
  <si>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</si>
  <si>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</si>
  <si>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</si>
  <si>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</si>
  <si>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</si>
  <si>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</si>
  <si>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</si>
  <si>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</si>
  <si>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</si>
  <si>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</si>
  <si>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</si>
  <si>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</si>
  <si>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</si>
  <si>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</si>
  <si>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</si>
  <si>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</si>
  <si>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</si>
  <si>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</si>
  <si>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</si>
  <si>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</si>
  <si>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</si>
  <si>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</si>
  <si>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</si>
  <si>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</si>
  <si>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</si>
  <si>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</si>
  <si>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</si>
  <si>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</si>
  <si>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</si>
  <si>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</si>
  <si>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</si>
  <si>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</si>
  <si>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</si>
  <si>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</si>
  <si>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</si>
  <si>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</si>
  <si>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</si>
  <si>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</si>
  <si>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</si>
  <si>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</si>
  <si>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</si>
  <si>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</si>
  <si>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</si>
  <si>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</si>
  <si>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</si>
  <si>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</si>
  <si>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</si>
  <si>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</si>
  <si>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</si>
  <si>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</si>
  <si>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</si>
  <si>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</si>
  <si>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</si>
  <si>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</si>
  <si>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</si>
  <si>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</si>
  <si>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</si>
  <si>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</si>
  <si>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</si>
  <si>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</si>
  <si>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</si>
  <si>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</si>
  <si>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</si>
  <si>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</si>
  <si>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</si>
  <si>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</si>
  <si>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</si>
  <si>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</si>
  <si>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</si>
  <si>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</si>
  <si>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</si>
  <si>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</si>
  <si>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</si>
  <si>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</si>
  <si>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</si>
  <si>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</si>
  <si>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</si>
  <si>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</si>
  <si>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</si>
  <si>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</si>
  <si>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</si>
  <si>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</si>
  <si>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</si>
  <si>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</si>
  <si>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</si>
  <si>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</si>
  <si>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</si>
  <si>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</si>
  <si>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</si>
  <si>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</si>
  <si>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</si>
  <si>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</si>
  <si>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</si>
  <si>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</si>
  <si>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</si>
  <si>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</si>
  <si>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</si>
  <si>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</si>
  <si>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</si>
  <si>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</si>
  <si>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</si>
  <si>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</si>
  <si>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</si>
  <si>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</si>
  <si>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</si>
  <si>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</si>
  <si>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</si>
  <si>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</si>
  <si>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</si>
  <si>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</si>
  <si>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</si>
  <si>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</si>
  <si>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</si>
  <si>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</si>
  <si>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</si>
  <si>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</si>
  <si>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</si>
  <si>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</si>
  <si>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</si>
  <si>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</si>
  <si>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</si>
  <si>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</si>
  <si>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</si>
  <si>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</si>
  <si>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</si>
  <si>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</si>
  <si>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</si>
  <si>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</si>
  <si>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</si>
  <si>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</si>
  <si>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</si>
  <si>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</si>
  <si>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</si>
  <si>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</si>
  <si>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</si>
  <si>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</si>
  <si>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</si>
  <si>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</si>
  <si>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</si>
  <si>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</si>
  <si>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</si>
  <si>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</si>
  <si>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</si>
  <si>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</si>
  <si>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</si>
  <si>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</si>
  <si>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</si>
  <si>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</si>
  <si>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</si>
  <si>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</si>
  <si>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</si>
  <si>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</si>
  <si>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</si>
  <si>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</si>
  <si>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</si>
  <si>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</si>
  <si>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</si>
  <si>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</si>
  <si>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</si>
  <si>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</si>
  <si>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</si>
  <si>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</si>
  <si>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</si>
  <si>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</si>
  <si>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</si>
  <si>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</si>
  <si>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</si>
  <si>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</si>
  <si>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</si>
  <si>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</si>
  <si>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</si>
  <si>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</si>
  <si>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</si>
  <si>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</si>
  <si>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</si>
  <si>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</si>
  <si>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</si>
  <si>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</si>
  <si>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</si>
  <si>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</si>
  <si>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</si>
  <si>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</si>
  <si>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</si>
  <si>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</si>
  <si>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</si>
  <si>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</si>
  <si>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</si>
  <si>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</si>
  <si>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</si>
  <si>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</si>
  <si>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</si>
  <si>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</si>
  <si>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</si>
  <si>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</si>
  <si>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</si>
  <si>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</si>
  <si>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</si>
  <si>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</si>
  <si>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</si>
  <si>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</si>
  <si>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</si>
  <si>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</si>
  <si>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</si>
  <si>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</si>
  <si>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</si>
  <si>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</si>
  <si>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</si>
  <si>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</si>
  <si>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</si>
  <si>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</si>
  <si>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</si>
  <si>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</si>
  <si>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</si>
  <si>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</si>
  <si>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</si>
  <si>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</si>
  <si>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</si>
  <si>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</si>
  <si>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</si>
  <si>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</si>
  <si>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</si>
  <si>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</si>
  <si>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</si>
  <si>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</si>
  <si>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</si>
  <si>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</si>
  <si>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</si>
  <si>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</si>
  <si>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</si>
  <si>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</si>
  <si>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</si>
  <si>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</si>
  <si>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</si>
  <si>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</si>
  <si>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</si>
  <si>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</si>
  <si>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</si>
  <si>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</si>
  <si>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</si>
  <si>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</si>
  <si>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</si>
  <si>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</si>
  <si>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</si>
  <si>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</si>
  <si>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</si>
  <si>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</si>
  <si>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</si>
  <si>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</si>
  <si>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</si>
  <si>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</si>
  <si>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</si>
  <si>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</si>
  <si>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</si>
  <si>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</si>
  <si>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</si>
  <si>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</si>
  <si>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</si>
  <si>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</si>
  <si>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</si>
  <si>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</si>
  <si>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</si>
  <si>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</si>
  <si>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</si>
  <si>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</si>
  <si>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</si>
  <si>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</si>
  <si>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</si>
  <si>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</si>
  <si>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</si>
  <si>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</si>
  <si>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</si>
  <si>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</si>
  <si>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</si>
  <si>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</si>
  <si>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</si>
  <si>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</si>
  <si>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</si>
  <si>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</si>
  <si>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</si>
  <si>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</si>
  <si>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</si>
  <si>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</si>
  <si>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</si>
  <si>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</si>
  <si>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</si>
  <si>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</si>
  <si>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</si>
  <si>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</si>
  <si>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</si>
  <si>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</si>
  <si>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</si>
  <si>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</si>
  <si>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</si>
  <si>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</si>
  <si>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</si>
  <si>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</si>
  <si>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</si>
  <si>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</si>
  <si>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</si>
  <si>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</si>
  <si>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</si>
  <si>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</si>
  <si>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</si>
  <si>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</si>
  <si>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</si>
  <si>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</si>
  <si>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</si>
  <si>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</si>
  <si>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</si>
  <si>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</si>
  <si>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</si>
  <si>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</si>
  <si>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</si>
  <si>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</si>
  <si>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</si>
  <si>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</si>
  <si>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</si>
  <si>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</si>
  <si>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</si>
  <si>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</si>
  <si>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</si>
  <si>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</si>
  <si>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</si>
  <si>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</si>
  <si>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</si>
  <si>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</si>
  <si>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</si>
  <si>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</si>
  <si>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</si>
  <si>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</si>
  <si>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</si>
  <si>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</si>
  <si>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</si>
  <si>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</si>
  <si>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</si>
  <si>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</si>
  <si>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</si>
  <si>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</si>
  <si>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</si>
  <si>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</si>
  <si>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</si>
  <si>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</si>
  <si>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</si>
  <si>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</si>
  <si>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</si>
  <si>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</si>
  <si>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</si>
  <si>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</si>
  <si>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</si>
  <si>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</si>
  <si>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</si>
  <si>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</si>
  <si>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</si>
  <si>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</si>
  <si>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</si>
  <si>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</si>
  <si>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</si>
  <si>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</si>
  <si>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</si>
  <si>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</si>
  <si>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</si>
  <si>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</si>
  <si>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</si>
  <si>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</si>
  <si>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</si>
  <si>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</si>
  <si>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</si>
  <si>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</si>
  <si>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</si>
  <si>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</si>
  <si>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</si>
  <si>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</si>
  <si>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</si>
  <si>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</si>
  <si>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</si>
  <si>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</si>
  <si>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</si>
  <si>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</si>
  <si>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</si>
  <si>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</si>
  <si>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</si>
  <si>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</si>
  <si>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</si>
  <si>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</si>
  <si>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</si>
  <si>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</si>
  <si>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</si>
  <si>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</si>
  <si>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</si>
  <si>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</si>
  <si>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</si>
  <si>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</si>
  <si>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</si>
  <si>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</si>
  <si>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</si>
  <si>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</si>
  <si>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</si>
  <si>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</si>
  <si>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</si>
  <si>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</si>
  <si>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</si>
  <si>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</si>
  <si>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</si>
  <si>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</si>
  <si>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</si>
  <si>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</si>
  <si>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</si>
  <si>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</si>
  <si>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</si>
  <si>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</si>
  <si>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</si>
  <si>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</si>
  <si>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</si>
  <si>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</si>
  <si>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</si>
  <si>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</si>
  <si>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</si>
  <si>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</si>
  <si>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</si>
  <si>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</si>
  <si>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</si>
  <si>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</si>
  <si>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</si>
  <si>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</si>
  <si>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</si>
  <si>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</si>
  <si>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</si>
  <si>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</si>
  <si>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</si>
  <si>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</si>
  <si>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</si>
  <si>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</si>
  <si>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</si>
  <si>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</si>
  <si>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</si>
  <si>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</si>
  <si>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</si>
  <si>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</si>
  <si>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</si>
  <si>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</si>
  <si>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</si>
  <si>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</si>
  <si>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</si>
  <si>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</si>
  <si>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</si>
  <si>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</si>
  <si>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</si>
  <si>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</si>
  <si>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</si>
  <si>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</si>
  <si>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</si>
  <si>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</si>
  <si>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</si>
  <si>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</si>
  <si>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</si>
  <si>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</si>
  <si>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</si>
  <si>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</si>
  <si>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</si>
  <si>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</si>
  <si>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</si>
  <si>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</si>
  <si>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</si>
  <si>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</si>
  <si>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</si>
  <si>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</si>
  <si>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</si>
  <si>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</si>
  <si>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</si>
  <si>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</si>
  <si>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</si>
  <si>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</si>
  <si>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</si>
  <si>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</si>
  <si>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</si>
  <si>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</si>
  <si>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</si>
  <si>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</si>
  <si>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</si>
  <si>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</si>
  <si>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</si>
  <si>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</si>
  <si>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</si>
  <si>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</si>
  <si>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</si>
  <si>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</si>
  <si>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</si>
  <si>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</si>
  <si>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</si>
  <si>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</si>
  <si>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</si>
  <si>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</si>
  <si>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</si>
  <si>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</si>
  <si>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</si>
  <si>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</si>
  <si>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</si>
  <si>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</si>
  <si>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</si>
  <si>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</si>
  <si>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</si>
  <si>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</si>
  <si>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</si>
  <si>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</si>
  <si>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</si>
  <si>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</si>
  <si>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</si>
  <si>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</si>
  <si>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</si>
  <si>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</si>
  <si>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</si>
  <si>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</si>
  <si>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</si>
  <si>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</si>
  <si>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</si>
  <si>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</si>
  <si>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</si>
  <si>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</si>
  <si>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</si>
  <si>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</si>
  <si>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</si>
  <si>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</si>
  <si>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</si>
  <si>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</si>
  <si>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</si>
  <si>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</si>
  <si>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</si>
  <si>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</si>
  <si>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</si>
  <si>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</si>
  <si>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</si>
  <si>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</si>
  <si>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</si>
  <si>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</si>
  <si>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</si>
  <si>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</si>
  <si>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</si>
  <si>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</si>
  <si>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</si>
  <si>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</si>
  <si>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</si>
  <si>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</si>
  <si>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</si>
  <si>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</si>
  <si>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</si>
  <si>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</si>
  <si>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</si>
  <si>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</si>
  <si>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</si>
  <si>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</si>
  <si>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</si>
  <si>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</si>
  <si>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</si>
  <si>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</si>
  <si>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</si>
  <si>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</si>
  <si>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</si>
  <si>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</si>
  <si>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</si>
  <si>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</si>
  <si>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</si>
  <si>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</si>
  <si>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</si>
  <si>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</si>
  <si>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</si>
  <si>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</si>
  <si>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</si>
  <si>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</si>
  <si>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</si>
  <si>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</si>
  <si>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</si>
  <si>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</si>
  <si>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</si>
  <si>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</si>
  <si>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</si>
  <si>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</si>
  <si>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</si>
  <si>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</si>
  <si>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</si>
  <si>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</si>
  <si>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</si>
  <si>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</si>
  <si>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</si>
  <si>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</si>
  <si>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</si>
  <si>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</si>
  <si>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</si>
  <si>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</si>
  <si>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</si>
  <si>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</si>
  <si>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</si>
  <si>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</si>
  <si>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</si>
  <si>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</si>
  <si>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</si>
  <si>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</si>
  <si>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</si>
  <si>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</si>
  <si>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</si>
  <si>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</si>
  <si>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</si>
  <si>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</si>
  <si>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</si>
  <si>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</si>
  <si>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</si>
  <si>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</si>
  <si>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</si>
  <si>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</si>
  <si>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</si>
  <si>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</si>
  <si>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</si>
  <si>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</si>
  <si>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</si>
  <si>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</si>
  <si>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</si>
  <si>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</si>
  <si>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</si>
  <si>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</si>
  <si>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</si>
  <si>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</si>
  <si>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</si>
  <si>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</si>
  <si>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</si>
  <si>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</si>
  <si>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</si>
  <si>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</si>
  <si>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</si>
  <si>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</si>
  <si>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</si>
  <si>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</si>
  <si>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</si>
  <si>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</si>
  <si>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</si>
  <si>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</si>
  <si>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</si>
  <si>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</si>
  <si>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</si>
  <si>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</si>
  <si>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</si>
  <si>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</si>
  <si>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</si>
  <si>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</si>
  <si>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</si>
  <si>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</si>
  <si>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</si>
  <si>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</si>
  <si>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</si>
  <si>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</si>
  <si>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</si>
  <si>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</si>
  <si>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</si>
  <si>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</si>
  <si>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</si>
  <si>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</si>
  <si>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</si>
  <si>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</si>
  <si>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</si>
  <si>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</si>
  <si>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</si>
  <si>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</si>
  <si>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</si>
  <si>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</si>
  <si>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</si>
  <si>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</si>
  <si>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</si>
  <si>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</si>
  <si>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</si>
  <si>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</si>
  <si>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</si>
  <si>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</si>
  <si>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</si>
  <si>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</si>
  <si>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</si>
  <si>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</si>
  <si>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</si>
  <si>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</si>
  <si>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</si>
  <si>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</si>
  <si>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</si>
  <si>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</si>
  <si>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</si>
  <si>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</si>
  <si>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</si>
  <si>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</si>
  <si>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</si>
  <si>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</si>
  <si>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</si>
  <si>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</si>
  <si>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</si>
  <si>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</si>
  <si>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</si>
  <si>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</si>
  <si>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</si>
  <si>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</si>
  <si>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</si>
  <si>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</si>
  <si>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</si>
  <si>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</si>
  <si>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</si>
  <si>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</si>
  <si>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</si>
  <si>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</si>
  <si>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</si>
  <si>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</si>
  <si>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</si>
  <si>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</si>
  <si>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</si>
  <si>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</si>
  <si>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</si>
  <si>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</si>
  <si>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</si>
  <si>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</si>
  <si>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</si>
  <si>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</si>
  <si>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</si>
  <si>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</si>
  <si>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</si>
  <si>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</si>
  <si>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</si>
  <si>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</si>
  <si>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</si>
  <si>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</si>
  <si>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</si>
  <si>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</si>
  <si>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</si>
  <si>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</si>
  <si>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</si>
  <si>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</si>
  <si>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</si>
  <si>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</si>
  <si>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</si>
  <si>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</si>
  <si>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</si>
  <si>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</si>
  <si>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</si>
  <si>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</si>
  <si>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</si>
  <si>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</si>
  <si>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</si>
  <si>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</si>
  <si>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</si>
  <si>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</si>
  <si>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</si>
  <si>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</si>
  <si>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</si>
  <si>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</si>
  <si>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</si>
  <si>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</si>
  <si>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</si>
  <si>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</si>
  <si>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</si>
  <si>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</si>
  <si>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</si>
  <si>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</si>
  <si>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</si>
  <si>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</si>
  <si>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</si>
  <si>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</si>
  <si>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</si>
  <si>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</si>
  <si>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</si>
  <si>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</si>
  <si>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</si>
  <si>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</si>
  <si>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</si>
  <si>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</si>
  <si>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</si>
  <si>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</si>
  <si>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</si>
  <si>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</si>
  <si>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</si>
  <si>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</si>
  <si>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</si>
  <si>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</si>
  <si>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</si>
  <si>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</si>
  <si>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</si>
  <si>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</si>
  <si>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</si>
  <si>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</si>
  <si>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</si>
  <si>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</si>
  <si>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</si>
  <si>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</si>
  <si>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</si>
  <si>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</si>
  <si>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</si>
  <si>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</si>
  <si>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</si>
  <si>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</si>
  <si>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</si>
  <si>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</si>
  <si>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</si>
  <si>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</si>
  <si>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</si>
  <si>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</si>
  <si>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</si>
  <si>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</si>
  <si>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</si>
  <si>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</si>
  <si>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</si>
  <si>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</si>
  <si>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</si>
  <si>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</si>
  <si>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</si>
  <si>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</si>
  <si>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</si>
  <si>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</si>
  <si>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</si>
  <si>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</si>
  <si>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</si>
  <si>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</si>
  <si>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</si>
  <si>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</si>
  <si>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</si>
  <si>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</si>
  <si>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</si>
  <si>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</si>
  <si>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</si>
  <si>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</si>
  <si>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</si>
  <si>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</si>
  <si>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</si>
  <si>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</si>
  <si>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</si>
  <si>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</si>
  <si>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</si>
  <si>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</si>
  <si>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</si>
  <si>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</si>
  <si>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</si>
  <si>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</si>
  <si>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</si>
  <si>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</si>
  <si>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</si>
  <si>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</si>
  <si>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</si>
  <si>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</si>
  <si>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</si>
  <si>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</si>
  <si>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</si>
  <si>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</si>
  <si>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</si>
  <si>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</si>
  <si>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</si>
  <si>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</si>
  <si>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</si>
  <si>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</si>
  <si>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</si>
  <si>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</si>
  <si>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</si>
  <si>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</si>
  <si>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</si>
  <si>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</si>
  <si>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</si>
  <si>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</si>
  <si>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</si>
  <si>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</si>
  <si>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</si>
  <si>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</si>
  <si>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</si>
  <si>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</si>
  <si>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</si>
  <si>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</si>
  <si>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</si>
  <si>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</si>
  <si>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</si>
  <si>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</si>
  <si>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</si>
  <si>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</si>
  <si>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</si>
  <si>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</si>
  <si>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</si>
  <si>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</si>
  <si>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</si>
  <si>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</si>
  <si>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</si>
  <si>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</si>
  <si>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</si>
  <si>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</si>
  <si>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</si>
  <si>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</si>
  <si>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</si>
  <si>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</si>
  <si>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</si>
  <si>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</si>
  <si>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</si>
  <si>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</si>
  <si>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</si>
  <si>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</si>
  <si>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</si>
  <si>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</si>
  <si>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</si>
  <si>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</si>
  <si>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</si>
  <si>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</si>
  <si>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</si>
  <si>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</si>
  <si>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</si>
  <si>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</si>
  <si>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</si>
  <si>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</si>
  <si>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</si>
  <si>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</si>
  <si>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</si>
  <si>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</si>
  <si>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</si>
  <si>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</si>
  <si>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</si>
  <si>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</si>
  <si>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</si>
  <si>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</si>
  <si>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</si>
  <si>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</si>
  <si>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</si>
  <si>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</si>
  <si>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</si>
  <si>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</si>
  <si>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</si>
  <si>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</si>
  <si>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</si>
  <si>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</si>
  <si>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</si>
  <si>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</si>
  <si>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</si>
  <si>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</si>
  <si>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</si>
  <si>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</si>
  <si>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</si>
  <si>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</si>
  <si>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</si>
  <si>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</si>
  <si>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</si>
  <si>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</si>
  <si>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</si>
  <si>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</si>
  <si>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Plainfield School District</t>
  </si>
  <si>
    <t>12/10</t>
  </si>
  <si>
    <t>07/12</t>
  </si>
  <si>
    <t>01/21</t>
  </si>
  <si>
    <t>08/22</t>
  </si>
  <si>
    <t>Trust - PY Payable to Plainfield School District</t>
  </si>
  <si>
    <t>No Indirect Cost Rate is requested</t>
  </si>
  <si>
    <t>F/S - PY 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</si>
</sst>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00000000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168" fontId="5"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441</v>
      </c>
      <c r="C2" s="21">
        <v>441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171942.53+100</f>
        <v>172042.53</v>
      </c>
      <c r="G9" s="18"/>
      <c r="H9" s="18"/>
      <c r="I9" s="18"/>
      <c r="J9" s="67">
        <f>SUM(I439)</f>
        <v>417099.55</v>
      </c>
      <c r="K9" s="24" t="s">
        <v>288</v>
      </c>
      <c r="L9" s="24" t="s">
        <v>288</v>
      </c>
      <c r="M9" s="8"/>
      <c r="N9" s="266"/>
    </row>
    <row r="10" spans="1:14" s="3" customFormat="1" ht="12.2" customHeight="1" x14ac:dyDescent="0.15">
      <c r="A10" s="1" t="s">
        <v>562</v>
      </c>
      <c r="B10" s="2" t="s">
        <v>289</v>
      </c>
      <c r="C10" s="6">
        <v>2</v>
      </c>
      <c r="D10" s="2" t="s">
        <v>428</v>
      </c>
      <c r="E10" s="6">
        <v>110</v>
      </c>
      <c r="F10" s="18">
        <f>42018.97</f>
        <v>42018.97</v>
      </c>
      <c r="G10" s="18">
        <v>17341.560000000001</v>
      </c>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7706.13+7642-1900+2293</f>
        <v>15741.130000000001</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f>22784</f>
        <v>22784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36752.94</v>
      </c>
      <c r="G14" s="18">
        <v>1609.85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266555.57</v>
      </c>
      <c r="G19" s="41">
        <f>SUM(G9:G18)</f>
        <v>18951.41</v>
      </c>
      <c r="H19" s="41">
        <f>SUM(H9:H18)</f>
        <v>22784</v>
      </c>
      <c r="I19" s="41">
        <f>SUM(I9:I18)</f>
        <v>0</v>
      </c>
      <c r="J19" s="41">
        <f>SUM(J9:J18)</f>
        <v>417099.55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7642</v>
      </c>
      <c r="H22" s="18">
        <f>20667-10668-1900</f>
        <v>8099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4"/>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167886.9-81015.53</f>
        <v>86871.37</v>
      </c>
      <c r="G24" s="18">
        <v>3350.51</v>
      </c>
      <c r="H24" s="18">
        <v>2117</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7034</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93905.37</v>
      </c>
      <c r="G32" s="41">
        <f>SUM(G22:G31)</f>
        <v>10992.51</v>
      </c>
      <c r="H32" s="41">
        <f>SUM(H22:H31)</f>
        <v>10216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f>G19-G32</f>
        <v>7958.9</v>
      </c>
      <c r="H48" s="18">
        <f>H19-H32</f>
        <v>12568</v>
      </c>
      <c r="I48" s="18"/>
      <c r="J48" s="13">
        <f>SUM(I459)</f>
        <v>417099.55</v>
      </c>
      <c r="K48" s="24" t="s">
        <v>288</v>
      </c>
      <c r="L48" s="24" t="s">
        <v>288</v>
      </c>
      <c r="M48" s="8"/>
      <c r="N48" s="266"/>
    </row>
    <row r="49" spans="1:14" s="3" customFormat="1" ht="12.2" customHeight="1" x14ac:dyDescent="0.15">
      <c r="A49" s="1" t="s">
        <v>859</v>
      </c>
      <c r="B49" s="2" t="s">
        <v>289</v>
      </c>
      <c r="C49" s="6">
        <v>34</v>
      </c>
      <c r="D49" s="2"/>
      <c r="E49" s="6">
        <v>753</v>
      </c>
      <c r="F49" s="18">
        <v>15200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F19-F32-F49</f>
        <v>157450.20000000001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172650.2</v>
      </c>
      <c r="G51" s="41">
        <f>SUM(G35:G50)</f>
        <v>7958.9</v>
      </c>
      <c r="H51" s="41">
        <f>SUM(H35:H50)</f>
        <v>12568</v>
      </c>
      <c r="I51" s="41">
        <f>SUM(I35:I50)</f>
        <v>0</v>
      </c>
      <c r="J51" s="41">
        <f>SUM(J35:J50)</f>
        <v>417099.55</v>
      </c>
      <c r="K51" s="45" t="s">
        <v>288</v>
      </c>
      <c r="L51" s="45" t="s">
        <v>288</v>
      </c>
      <c r="N51" s="264"/>
    </row>
    <row r="52" spans="1:14" s="3" customFormat="1" ht="12.2" customHeight="1" thickTop="1" x14ac:dyDescent="0.15">
      <c r="A52" s="38" t="s">
        <v>455</v>
      </c>
      <c r="B52" s="39" t="s">
        <v>289</v>
      </c>
      <c r="C52" s="6">
        <v>37</v>
      </c>
      <c r="D52" s="39" t="s">
        <v>653</v>
      </c>
      <c r="E52" s="39"/>
      <c r="F52" s="41">
        <f>F51+F32</f>
        <v>266555.57</v>
      </c>
      <c r="G52" s="41">
        <f>G51+G32</f>
        <v>18951.41</v>
      </c>
      <c r="H52" s="41">
        <f>H51+H32</f>
        <v>22784</v>
      </c>
      <c r="I52" s="41">
        <f>I51+I32</f>
        <v>0</v>
      </c>
      <c r="J52" s="41">
        <f>J51+J32</f>
        <v>417099.55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5028286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5028286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432.28+2661.56</f>
        <v>3093.84</v>
      </c>
      <c r="G96" s="18"/>
      <c r="H96" s="18"/>
      <c r="I96" s="18"/>
      <c r="J96" s="18">
        <f>7012.68+1272.37+718.94</f>
        <v>9003.99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33241.660000000003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144999.99</v>
      </c>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20729.94-1</f>
        <v>20728.939999999999</v>
      </c>
      <c r="G110" s="18"/>
      <c r="H110" s="18">
        <v>9150</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168822.77</v>
      </c>
      <c r="G111" s="41">
        <f>SUM(G96:G110)</f>
        <v>33241.660000000003</v>
      </c>
      <c r="H111" s="41">
        <f>SUM(H96:H110)</f>
        <v>9150</v>
      </c>
      <c r="I111" s="41">
        <f>SUM(I96:I110)</f>
        <v>0</v>
      </c>
      <c r="J111" s="41">
        <f>SUM(J96:J110)</f>
        <v>9003.99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5197108.7699999996</v>
      </c>
      <c r="G112" s="41">
        <f>G60+G111</f>
        <v>33241.660000000003</v>
      </c>
      <c r="H112" s="41">
        <f>H60+H79+H94+H111</f>
        <v>9150</v>
      </c>
      <c r="I112" s="41">
        <f>I60+I111</f>
        <v>0</v>
      </c>
      <c r="J112" s="41">
        <f>J60+J111</f>
        <v>9003.99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628086.77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593999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f>44987.83-26873</f>
        <v>18114.830000000002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1240200.6000000001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9002.33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26873</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f>176222.7</f>
        <v>176222.7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570.03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212098.03000000003</v>
      </c>
      <c r="G136" s="41">
        <f>SUM(G123:G135)</f>
        <v>570.03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1452298.6300000001</v>
      </c>
      <c r="G140" s="41">
        <f>G121+SUM(G136:G137)</f>
        <v>570.03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307+31650+3701+2430+5400</f>
        <v>43488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8770.9500000000007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43445.4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45052.99</f>
        <v>45052.99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45052.99</v>
      </c>
      <c r="G162" s="41">
        <f>SUM(G150:G161)</f>
        <v>8770.9500000000007</v>
      </c>
      <c r="H162" s="41">
        <f>SUM(H150:H161)</f>
        <v>86933.4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45052.99</v>
      </c>
      <c r="G169" s="41">
        <f>G147+G162+SUM(G163:G168)</f>
        <v>8770.9500000000007</v>
      </c>
      <c r="H169" s="41">
        <f>H147+H162+SUM(H163:H168)</f>
        <v>86933.4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11093.69</v>
      </c>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11093.69</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11093.69</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6694460.3899999997</v>
      </c>
      <c r="G193" s="47">
        <f>G112+G140+G169+G192</f>
        <v>53676.33</v>
      </c>
      <c r="H193" s="47">
        <f>H112+H140+H169+H192</f>
        <v>96083.4</v>
      </c>
      <c r="I193" s="47">
        <f>I112+I140+I169+I192</f>
        <v>0</v>
      </c>
      <c r="J193" s="47">
        <f>J112+J140+J192</f>
        <v>59003.99</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1334891.4099999999</v>
      </c>
      <c r="G197" s="18">
        <v>705929.9</v>
      </c>
      <c r="H197" s="18">
        <f>16888.07+1181270.91-H233</f>
        <v>22863.070000000065</v>
      </c>
      <c r="I197" s="18">
        <f>71500.41+209.87-2</f>
        <v>71708.28</v>
      </c>
      <c r="J197" s="18">
        <v>3995.03</v>
      </c>
      <c r="K197" s="18">
        <v>13635.57</v>
      </c>
      <c r="L197" s="19">
        <f>SUM(F197:K197)</f>
        <v>2153023.2599999998</v>
      </c>
      <c r="M197" s="8"/>
      <c r="N197" s="266"/>
    </row>
    <row r="198" spans="1:14" s="3" customFormat="1" ht="12.2" customHeight="1" x14ac:dyDescent="0.15">
      <c r="A198" s="1" t="s">
        <v>439</v>
      </c>
      <c r="B198" s="2" t="s">
        <v>341</v>
      </c>
      <c r="C198" s="2" t="s">
        <v>291</v>
      </c>
      <c r="D198" s="2" t="s">
        <v>431</v>
      </c>
      <c r="E198" s="6">
        <v>1200</v>
      </c>
      <c r="F198" s="18">
        <v>380083.58</v>
      </c>
      <c r="G198" s="18">
        <v>288058.17</v>
      </c>
      <c r="H198" s="18">
        <f>604131.39+876.96-2430</f>
        <v>602578.35</v>
      </c>
      <c r="I198" s="18">
        <f>1992.84+1428</f>
        <v>3420.84</v>
      </c>
      <c r="J198" s="18">
        <v>1.92</v>
      </c>
      <c r="K198" s="18">
        <v>2298</v>
      </c>
      <c r="L198" s="19">
        <f>SUM(F198:K198)</f>
        <v>1276440.8600000001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25200</v>
      </c>
      <c r="G200" s="18">
        <v>3800.27</v>
      </c>
      <c r="H200" s="18"/>
      <c r="I200" s="18">
        <v>3295.23</v>
      </c>
      <c r="J200" s="18"/>
      <c r="K200" s="18">
        <v>1542.5</v>
      </c>
      <c r="L200" s="19">
        <f>SUM(F200:K200)</f>
        <v>33838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55495+63603</f>
        <v>119098</v>
      </c>
      <c r="G202" s="18">
        <f>41103.36+43566.08</f>
        <v>84669.440000000002</v>
      </c>
      <c r="H202" s="18">
        <f>43875.83+5560.4+219.42</f>
        <v>49655.65</v>
      </c>
      <c r="I202" s="18">
        <f>691.51+665.72+1691.25</f>
        <v>3048.48</v>
      </c>
      <c r="J202" s="18">
        <f>38060.77+35.24</f>
        <v>38096.009999999995</v>
      </c>
      <c r="K202" s="18">
        <v>403.99</v>
      </c>
      <c r="L202" s="19">
        <f t="shared" ref="L202:L208" si="0">SUM(F202:K202)</f>
        <v>294971.57</v>
      </c>
      <c r="M202" s="8"/>
      <c r="N202" s="266"/>
    </row>
    <row r="203" spans="1:14" s="3" customFormat="1" ht="12.2" customHeight="1" x14ac:dyDescent="0.15">
      <c r="A203" s="1" t="s">
        <v>443</v>
      </c>
      <c r="B203" s="2" t="s">
        <v>341</v>
      </c>
      <c r="C203" s="2" t="s">
        <v>295</v>
      </c>
      <c r="D203" s="2" t="s">
        <v>431</v>
      </c>
      <c r="E203" s="6">
        <v>2200</v>
      </c>
      <c r="F203" s="18">
        <f>17027.38+65767</f>
        <v>82794.38</v>
      </c>
      <c r="G203" s="18">
        <f>2083.38+2799.88+18511.83</f>
        <v>23395.090000000004</v>
      </c>
      <c r="H203" s="18">
        <f>27354.23+1180</f>
        <v>28534.23</v>
      </c>
      <c r="I203" s="18">
        <f>1043.29+10967.31</f>
        <v>12010.599999999999</v>
      </c>
      <c r="J203" s="18">
        <v>1031.78</v>
      </c>
      <c r="K203" s="18">
        <v>52.5</v>
      </c>
      <c r="L203" s="19">
        <f t="shared" si="0"/>
        <v>147818.58000000002</v>
      </c>
      <c r="M203" s="8"/>
      <c r="N203" s="266"/>
    </row>
    <row r="204" spans="1:14" s="3" customFormat="1" ht="12.2" customHeight="1" x14ac:dyDescent="0.15">
      <c r="A204" s="1" t="s">
        <v>444</v>
      </c>
      <c r="B204" s="2" t="s">
        <v>341</v>
      </c>
      <c r="C204" s="2" t="s">
        <v>296</v>
      </c>
      <c r="D204" s="2" t="s">
        <v>431</v>
      </c>
      <c r="E204" s="6">
        <v>2300</v>
      </c>
      <c r="F204" s="18">
        <f>3400+302796.31</f>
        <v>306196.31</v>
      </c>
      <c r="G204" s="18">
        <v>84984.2</v>
      </c>
      <c r="H204" s="18">
        <f>701.75+14159.2+11231.6</f>
        <v>26092.550000000003</v>
      </c>
      <c r="I204" s="18">
        <f>1299+1937.43</f>
        <v>3236.4300000000003</v>
      </c>
      <c r="J204" s="18">
        <v>1304.1300000000001</v>
      </c>
      <c r="K204" s="18">
        <f>7118.77+5989.32</f>
        <v>13108.09</v>
      </c>
      <c r="L204" s="19">
        <f t="shared" si="0"/>
        <v>434921.71</v>
      </c>
      <c r="M204" s="8"/>
      <c r="N204" s="266"/>
    </row>
    <row r="205" spans="1:14" s="3" customFormat="1" ht="12.2" customHeight="1" x14ac:dyDescent="0.15">
      <c r="A205" s="1" t="s">
        <v>445</v>
      </c>
      <c r="B205" s="2" t="s">
        <v>341</v>
      </c>
      <c r="C205" s="2" t="s">
        <v>297</v>
      </c>
      <c r="D205" s="2" t="s">
        <v>431</v>
      </c>
      <c r="E205" s="6">
        <v>2400</v>
      </c>
      <c r="F205" s="18">
        <v>159146.70000000001</v>
      </c>
      <c r="G205" s="18">
        <f>100458.25+15632.41+24117.16</f>
        <v>140207.82</v>
      </c>
      <c r="H205" s="18">
        <v>12229.08</v>
      </c>
      <c r="I205" s="18">
        <v>1466.05</v>
      </c>
      <c r="J205" s="18"/>
      <c r="K205" s="18">
        <v>664.38</v>
      </c>
      <c r="L205" s="19">
        <f t="shared" si="0"/>
        <v>313714.03000000003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91324.33</v>
      </c>
      <c r="G207" s="18">
        <v>60177.64</v>
      </c>
      <c r="H207" s="18">
        <v>86749.75</v>
      </c>
      <c r="I207" s="18">
        <v>54017.760000000002</v>
      </c>
      <c r="J207" s="18">
        <v>7735.34</v>
      </c>
      <c r="K207" s="18">
        <v>620</v>
      </c>
      <c r="L207" s="19">
        <f t="shared" si="0"/>
        <v>300624.82</v>
      </c>
      <c r="M207" s="8"/>
      <c r="N207" s="266"/>
    </row>
    <row r="208" spans="1:14" s="3" customFormat="1" ht="12.2" customHeight="1" x14ac:dyDescent="0.15">
      <c r="A208" s="1" t="s">
        <v>448</v>
      </c>
      <c r="B208" s="2" t="s">
        <v>341</v>
      </c>
      <c r="C208" s="2" t="s">
        <v>300</v>
      </c>
      <c r="D208" s="2" t="s">
        <v>431</v>
      </c>
      <c r="E208" s="6">
        <v>2700</v>
      </c>
      <c r="F208" s="18"/>
      <c r="G208" s="18"/>
      <c r="H208" s="18">
        <f>251703.4-J591</f>
        <v>203014.78999999998</v>
      </c>
      <c r="I208" s="18"/>
      <c r="J208" s="18"/>
      <c r="K208" s="18"/>
      <c r="L208" s="19">
        <f t="shared" si="0"/>
        <v>203014.78999999998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2498734.7100000004</v>
      </c>
      <c r="G211" s="41">
        <f t="shared" si="1"/>
        <v>1391222.53</v>
      </c>
      <c r="H211" s="41">
        <f t="shared" si="1"/>
        <v>1031717.47</v>
      </c>
      <c r="I211" s="41">
        <f t="shared" si="1"/>
        <v>152203.66999999998</v>
      </c>
      <c r="J211" s="41">
        <f t="shared" si="1"/>
        <v>52164.209999999992</v>
      </c>
      <c r="K211" s="41">
        <f t="shared" si="1"/>
        <v>32325.030000000002</v>
      </c>
      <c r="L211" s="41">
        <f t="shared" si="1"/>
        <v>5158367.620000001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H575+H576</f>
        <v>1175295.9099999999</v>
      </c>
      <c r="I233" s="18"/>
      <c r="J233" s="18"/>
      <c r="K233" s="18"/>
      <c r="L233" s="19">
        <f>SUM(F233:K233)</f>
        <v>1175295.9099999999</v>
      </c>
      <c r="M233" s="8"/>
      <c r="N233" s="266"/>
    </row>
    <row r="234" spans="1:14" s="3" customFormat="1" ht="12.2" customHeight="1" x14ac:dyDescent="0.15">
      <c r="A234" s="1" t="s">
        <v>439</v>
      </c>
      <c r="B234" s="2" t="s">
        <v>350</v>
      </c>
      <c r="C234" s="2" t="s">
        <v>291</v>
      </c>
      <c r="D234" s="2" t="s">
        <v>431</v>
      </c>
      <c r="E234" s="6">
        <v>1200</v>
      </c>
      <c r="F234" s="18"/>
      <c r="G234" s="18"/>
      <c r="H234" s="18">
        <v>56146.04</v>
      </c>
      <c r="I234" s="18"/>
      <c r="J234" s="18"/>
      <c r="K234" s="18"/>
      <c r="L234" s="19">
        <f>SUM(F234:K234)</f>
        <v>56146.04</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J591</f>
        <v>48688.61</v>
      </c>
      <c r="I244" s="18"/>
      <c r="J244" s="18"/>
      <c r="K244" s="18"/>
      <c r="L244" s="19">
        <f t="shared" si="4"/>
        <v>48688.61</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1280130.5600000001</v>
      </c>
      <c r="I247" s="41">
        <f t="shared" si="5"/>
        <v>0</v>
      </c>
      <c r="J247" s="41">
        <f t="shared" si="5"/>
        <v>0</v>
      </c>
      <c r="K247" s="41">
        <f t="shared" si="5"/>
        <v>0</v>
      </c>
      <c r="L247" s="41">
        <f t="shared" si="5"/>
        <v>1280130.5600000001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52659.29</v>
      </c>
      <c r="I255" s="18"/>
      <c r="J255" s="18"/>
      <c r="K255" s="18"/>
      <c r="L255" s="19">
        <f t="shared" si="6"/>
        <v>52659.29</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52659.29</v>
      </c>
      <c r="I256" s="41">
        <f t="shared" si="7"/>
        <v>0</v>
      </c>
      <c r="J256" s="41">
        <f t="shared" si="7"/>
        <v>0</v>
      </c>
      <c r="K256" s="41">
        <f t="shared" si="7"/>
        <v>0</v>
      </c>
      <c r="L256" s="41">
        <f>SUM(F256:K256)</f>
        <v>52659.29</v>
      </c>
      <c r="M256" s="8"/>
      <c r="N256" s="266"/>
    </row>
    <row r="257" spans="1:14" s="3" customFormat="1" ht="12.2" customHeight="1" thickTop="1" x14ac:dyDescent="0.15">
      <c r="A257" s="38" t="s">
        <v>462</v>
      </c>
      <c r="B257" s="40">
        <v>10</v>
      </c>
      <c r="C257" s="40">
        <v>8</v>
      </c>
      <c r="D257" s="39" t="s">
        <v>431</v>
      </c>
      <c r="E257" s="40"/>
      <c r="F257" s="41">
        <f t="shared" ref="F257:L257" si="8">F211+F229+F247+F256</f>
        <v>2498734.7100000004</v>
      </c>
      <c r="G257" s="41">
        <f t="shared" si="8"/>
        <v>1391222.53</v>
      </c>
      <c r="H257" s="41">
        <f t="shared" si="8"/>
        <v>2364507.3200000003</v>
      </c>
      <c r="I257" s="41">
        <f t="shared" si="8"/>
        <v>152203.66999999998</v>
      </c>
      <c r="J257" s="41">
        <f t="shared" si="8"/>
        <v>52164.209999999992</v>
      </c>
      <c r="K257" s="41">
        <f t="shared" si="8"/>
        <v>32325.030000000002</v>
      </c>
      <c r="L257" s="41">
        <f t="shared" si="8"/>
        <v>6491157.4700000016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85000</v>
      </c>
      <c r="L260" s="19">
        <f>SUM(F260:K260)</f>
        <v>85000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12412.5</v>
      </c>
      <c r="L261" s="19">
        <f>SUM(F261:K261)</f>
        <v>12412.5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11093.69</v>
      </c>
      <c r="L263" s="19">
        <f>SUM(F263:K263)</f>
        <v>11093.69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158506.19</v>
      </c>
      <c r="L270" s="41">
        <f t="shared" si="9"/>
        <v>158506.19</v>
      </c>
      <c r="N270" s="264"/>
    </row>
    <row r="271" spans="1:14" s="3" customFormat="1" ht="12.2" customHeight="1" thickTop="1" x14ac:dyDescent="0.2">
      <c r="A271" s="43" t="s">
        <v>464</v>
      </c>
      <c r="B271" s="40">
        <v>10</v>
      </c>
      <c r="C271" s="40">
        <v>18</v>
      </c>
      <c r="D271" s="39" t="s">
        <v>431</v>
      </c>
      <c r="E271" s="40"/>
      <c r="F271" s="42">
        <f t="shared" ref="F271:L271" si="11">F257+F270</f>
        <v>2498734.7100000004</v>
      </c>
      <c r="G271" s="42">
        <f t="shared" si="11"/>
        <v>1391222.53</v>
      </c>
      <c r="H271" s="42">
        <f t="shared" si="11"/>
        <v>2364507.3200000003</v>
      </c>
      <c r="I271" s="42">
        <f t="shared" si="11"/>
        <v>152203.66999999998</v>
      </c>
      <c r="J271" s="42">
        <f t="shared" si="11"/>
        <v>52164.209999999992</v>
      </c>
      <c r="K271" s="42">
        <f t="shared" si="11"/>
        <v>190831.22</v>
      </c>
      <c r="L271" s="42">
        <f t="shared" si="11"/>
        <v>6649663.660000002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306.74</v>
      </c>
      <c r="G276" s="18"/>
      <c r="H276" s="18"/>
      <c r="I276" s="18">
        <v>1584</v>
      </c>
      <c r="J276" s="18"/>
      <c r="K276" s="18"/>
      <c r="L276" s="19">
        <f>SUM(F276:K276)</f>
        <v>1890.74</v>
      </c>
      <c r="M276" s="8"/>
      <c r="N276" s="266"/>
    </row>
    <row r="277" spans="1:14" s="3" customFormat="1" ht="12.2" customHeight="1" x14ac:dyDescent="0.15">
      <c r="A277" s="1" t="s">
        <v>439</v>
      </c>
      <c r="B277" s="2" t="s">
        <v>357</v>
      </c>
      <c r="C277" s="2" t="s">
        <v>291</v>
      </c>
      <c r="D277" s="2" t="s">
        <v>431</v>
      </c>
      <c r="E277" s="6">
        <v>1200</v>
      </c>
      <c r="F277" s="18">
        <v>14199.96</v>
      </c>
      <c r="G277" s="18"/>
      <c r="H277" s="18">
        <f>26049+2430</f>
        <v>28479</v>
      </c>
      <c r="I277" s="18">
        <f>3939.68-1428+0.07</f>
        <v>2511.75</v>
      </c>
      <c r="J277" s="18">
        <v>684.97</v>
      </c>
      <c r="K277" s="18"/>
      <c r="L277" s="19">
        <f>SUM(F277:K277)</f>
        <v>45875.68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f>31650+3521.25+2117</f>
        <v>37288.25</v>
      </c>
      <c r="I282" s="18">
        <v>360.89</v>
      </c>
      <c r="J282" s="18"/>
      <c r="K282" s="18"/>
      <c r="L282" s="19">
        <f t="shared" si="12"/>
        <v>37649.14</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14506.699999999999</v>
      </c>
      <c r="G290" s="42">
        <f t="shared" si="13"/>
        <v>0</v>
      </c>
      <c r="H290" s="42">
        <f t="shared" si="13"/>
        <v>65767.25</v>
      </c>
      <c r="I290" s="42">
        <f t="shared" si="13"/>
        <v>4456.6400000000003</v>
      </c>
      <c r="J290" s="42">
        <f t="shared" si="13"/>
        <v>684.97</v>
      </c>
      <c r="K290" s="42">
        <f t="shared" si="13"/>
        <v>0</v>
      </c>
      <c r="L290" s="41">
        <f t="shared" si="13"/>
        <v>85415.56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14506.699999999999</v>
      </c>
      <c r="G338" s="41">
        <f t="shared" si="20"/>
        <v>0</v>
      </c>
      <c r="H338" s="41">
        <f t="shared" si="20"/>
        <v>65767.25</v>
      </c>
      <c r="I338" s="41">
        <f t="shared" si="20"/>
        <v>4456.6400000000003</v>
      </c>
      <c r="J338" s="41">
        <f t="shared" si="20"/>
        <v>684.97</v>
      </c>
      <c r="K338" s="41">
        <f t="shared" si="20"/>
        <v>0</v>
      </c>
      <c r="L338" s="41">
        <f t="shared" si="20"/>
        <v>85415.56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14506.699999999999</v>
      </c>
      <c r="G352" s="41">
        <f>G338</f>
        <v>0</v>
      </c>
      <c r="H352" s="41">
        <f>H338</f>
        <v>65767.25</v>
      </c>
      <c r="I352" s="41">
        <f>I338</f>
        <v>4456.6400000000003</v>
      </c>
      <c r="J352" s="41">
        <f>J338</f>
        <v>684.97</v>
      </c>
      <c r="K352" s="47">
        <f>K338+K351</f>
        <v>0</v>
      </c>
      <c r="L352" s="41">
        <f>L338+L351</f>
        <v>85415.56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53556.86</v>
      </c>
      <c r="I358" s="18">
        <v>11.47</v>
      </c>
      <c r="J358" s="18"/>
      <c r="K358" s="18">
        <v>108</v>
      </c>
      <c r="L358" s="13">
        <f>SUM(F358:K358)</f>
        <v>53676.33</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53556.86</v>
      </c>
      <c r="I362" s="47">
        <f t="shared" si="22"/>
        <v>11.47</v>
      </c>
      <c r="J362" s="47">
        <f t="shared" si="22"/>
        <v>0</v>
      </c>
      <c r="K362" s="47">
        <f t="shared" si="22"/>
        <v>108</v>
      </c>
      <c r="L362" s="47">
        <f t="shared" si="22"/>
        <v>53676.33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11.47</v>
      </c>
      <c r="G368" s="63"/>
      <c r="H368" s="63"/>
      <c r="I368" s="56">
        <f>SUM(F368:H368)</f>
        <v>11.47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11.47</v>
      </c>
      <c r="G369" s="47">
        <f>SUM(G367:G368)</f>
        <v>0</v>
      </c>
      <c r="H369" s="47">
        <f>SUM(H367:H368)</f>
        <v>0</v>
      </c>
      <c r="I369" s="47">
        <f>SUM(I367:I368)</f>
        <v>11.47</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f>1272.37</f>
        <v>1272.3699999999999</v>
      </c>
      <c r="I395" s="18"/>
      <c r="J395" s="24" t="s">
        <v>288</v>
      </c>
      <c r="K395" s="24" t="s">
        <v>288</v>
      </c>
      <c r="L395" s="56">
        <f t="shared" ref="L395:L400" si="26">SUM(F395:K395)</f>
        <v>1272.3699999999999</v>
      </c>
      <c r="M395" s="8"/>
      <c r="N395" s="266"/>
    </row>
    <row r="396" spans="1:14" s="3" customFormat="1" ht="12.2" customHeight="1" x14ac:dyDescent="0.15">
      <c r="A396" s="79" t="s">
        <v>557</v>
      </c>
      <c r="B396" s="2" t="s">
        <v>381</v>
      </c>
      <c r="C396" s="6">
        <v>9</v>
      </c>
      <c r="D396" s="2" t="s">
        <v>432</v>
      </c>
      <c r="E396" s="6"/>
      <c r="F396" s="18"/>
      <c r="G396" s="18"/>
      <c r="H396" s="18">
        <f>718.94</f>
        <v>718.94</v>
      </c>
      <c r="I396" s="18"/>
      <c r="J396" s="24" t="s">
        <v>288</v>
      </c>
      <c r="K396" s="24" t="s">
        <v>288</v>
      </c>
      <c r="L396" s="56">
        <f t="shared" si="26"/>
        <v>718.94</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v>50000</v>
      </c>
      <c r="H398" s="18">
        <v>7012.68</v>
      </c>
      <c r="I398" s="18"/>
      <c r="J398" s="24" t="s">
        <v>288</v>
      </c>
      <c r="K398" s="24" t="s">
        <v>288</v>
      </c>
      <c r="L398" s="56">
        <f t="shared" si="26"/>
        <v>57012.68</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9003.99</v>
      </c>
      <c r="I401" s="47">
        <f>SUM(I395:I400)</f>
        <v>0</v>
      </c>
      <c r="J401" s="45" t="s">
        <v>288</v>
      </c>
      <c r="K401" s="45" t="s">
        <v>288</v>
      </c>
      <c r="L401" s="47">
        <f>SUM(L395:L400)</f>
        <v>59003.99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9003.99</v>
      </c>
      <c r="I408" s="47">
        <f>I393+I401+I407</f>
        <v>0</v>
      </c>
      <c r="J408" s="24" t="s">
        <v>288</v>
      </c>
      <c r="K408" s="24" t="s">
        <v>288</v>
      </c>
      <c r="L408" s="47">
        <f>L393+L401+L407</f>
        <v>59003.99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f>29311.56</f>
        <v>29311.56</v>
      </c>
      <c r="G439" s="18">
        <f>51875.7+335912.29</f>
        <v>387787.99</v>
      </c>
      <c r="H439" s="18"/>
      <c r="I439" s="56">
        <f t="shared" ref="I439:I445" si="33">SUM(F439:H439)</f>
        <v>417099.55</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29311.56</v>
      </c>
      <c r="G446" s="13">
        <f>SUM(G439:G445)</f>
        <v>387787.99</v>
      </c>
      <c r="H446" s="13">
        <f>SUM(H439:H445)</f>
        <v>0</v>
      </c>
      <c r="I446" s="13">
        <f>SUM(I439:I445)</f>
        <v>417099.55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f>F439</f>
        <v>29311.56</v>
      </c>
      <c r="G459" s="18">
        <f>G446</f>
        <v>387787.99</v>
      </c>
      <c r="H459" s="18"/>
      <c r="I459" s="56">
        <f t="shared" si="34"/>
        <v>417099.55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29311.56</v>
      </c>
      <c r="G460" s="83">
        <f>SUM(G454:G459)</f>
        <v>387787.99</v>
      </c>
      <c r="H460" s="83">
        <f>SUM(H454:H459)</f>
        <v>0</v>
      </c>
      <c r="I460" s="83">
        <f>SUM(I454:I459)</f>
        <v>417099.55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29311.56</v>
      </c>
      <c r="G461" s="42">
        <f>G452+G460</f>
        <v>387787.99</v>
      </c>
      <c r="H461" s="42">
        <f>H452+H460</f>
        <v>0</v>
      </c>
      <c r="I461" s="42">
        <f>I452+I460</f>
        <v>417099.55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127853.47</v>
      </c>
      <c r="G465" s="18"/>
      <c r="H465" s="18">
        <v>1900.16</v>
      </c>
      <c r="I465" s="18"/>
      <c r="J465" s="18">
        <v>315110.78999999998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6694460.3899999997</v>
      </c>
      <c r="G468" s="18">
        <f>G193</f>
        <v>53676.33</v>
      </c>
      <c r="H468" s="18">
        <f>H193</f>
        <v>96083.4</v>
      </c>
      <c r="I468" s="18"/>
      <c r="J468" s="18">
        <f>L401</f>
        <v>59003.99</v>
      </c>
      <c r="K468" s="24" t="s">
        <v>288</v>
      </c>
      <c r="L468" s="24" t="s">
        <v>288</v>
      </c>
      <c r="N468" s="265"/>
    </row>
    <row r="469" spans="1:14" s="52" customFormat="1" ht="12.2" customHeight="1" x14ac:dyDescent="0.2">
      <c r="A469" s="93" t="s">
        <v>611</v>
      </c>
      <c r="B469" s="75">
        <v>19</v>
      </c>
      <c r="C469" s="80">
        <v>3</v>
      </c>
      <c r="D469" s="2" t="s">
        <v>432</v>
      </c>
      <c r="E469" s="80"/>
      <c r="F469" s="18"/>
      <c r="G469" s="18">
        <v>7958.9</v>
      </c>
      <c r="H469" s="18"/>
      <c r="I469" s="18"/>
      <c r="J469" s="18">
        <v>42984.77</v>
      </c>
      <c r="K469" s="24" t="s">
        <v>288</v>
      </c>
      <c r="L469" s="24" t="s">
        <v>288</v>
      </c>
      <c r="N469" s="265"/>
    </row>
    <row r="470" spans="1:14" s="52" customFormat="1" ht="12.2" customHeight="1" x14ac:dyDescent="0.2">
      <c r="A470" s="92" t="s">
        <v>425</v>
      </c>
      <c r="B470" s="75">
        <v>19</v>
      </c>
      <c r="C470" s="80">
        <v>4</v>
      </c>
      <c r="D470" s="2" t="s">
        <v>432</v>
      </c>
      <c r="E470" s="80"/>
      <c r="F470" s="53">
        <f>SUM(F468:F469)</f>
        <v>6694460.3899999997</v>
      </c>
      <c r="G470" s="53">
        <f>SUM(G468:G469)</f>
        <v>61635.23</v>
      </c>
      <c r="H470" s="53">
        <f>SUM(H468:H469)</f>
        <v>96083.4</v>
      </c>
      <c r="I470" s="53">
        <f>SUM(I468:I469)</f>
        <v>0</v>
      </c>
      <c r="J470" s="53">
        <f>SUM(J468:J469)</f>
        <v>101988.76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6649663.660000002</v>
      </c>
      <c r="G472" s="18">
        <f>L362</f>
        <v>53676.33</v>
      </c>
      <c r="H472" s="18">
        <f>L352</f>
        <v>85415.56</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6649663.660000002</v>
      </c>
      <c r="G474" s="53">
        <f>SUM(G472:G473)</f>
        <v>53676.33</v>
      </c>
      <c r="H474" s="53">
        <f>SUM(H472:H473)</f>
        <v>85415.56</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172650.19999999739</v>
      </c>
      <c r="G476" s="53">
        <f>(G465+G470)- G474</f>
        <v>7958.9000000000015</v>
      </c>
      <c r="H476" s="53">
        <f>(H465+H470)- H474</f>
        <v>12568</v>
      </c>
      <c r="I476" s="53">
        <f>(I465+I470)- I474</f>
        <v>0</v>
      </c>
      <c r="J476" s="53">
        <f>(J465+J470)- J474</f>
        <v>417099.55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1617</v>
      </c>
      <c r="B480" s="112"/>
      <c r="C480" s="112"/>
      <c r="D480" s="112"/>
      <c r="E480" s="112"/>
      <c r="F480" s="112"/>
      <c r="G480" s="112"/>
      <c r="H480" s="112"/>
      <c r="I480" s="112" t="s">
        <v>401</v>
      </c>
      <c r="J480" s="112"/>
      <c r="K480" s="95"/>
      <c r="L480" s="95"/>
      <c r="N480" s="265"/>
    </row>
    <row r="481" spans="1:14" s="52" customFormat="1" ht="12.2" customHeight="1" x14ac:dyDescent="0.2">
      <c r="A481" s="175" t="s">
        <v>1615</v>
      </c>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v>10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1612</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1613</v>
      </c>
      <c r="G492" s="155" t="s">
        <v>1614</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314800</v>
      </c>
      <c r="G493" s="18">
        <v>543500</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v>
      </c>
      <c r="G494" s="18">
        <v>2.33</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60000</v>
      </c>
      <c r="G495" s="18">
        <v>210000</v>
      </c>
      <c r="H495" s="18"/>
      <c r="I495" s="18"/>
      <c r="J495" s="18"/>
      <c r="K495" s="53">
        <f>SUM(F495:J495)</f>
        <v>270000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30000</v>
      </c>
      <c r="G497" s="18">
        <v>55000</v>
      </c>
      <c r="H497" s="18"/>
      <c r="I497" s="18"/>
      <c r="J497" s="18"/>
      <c r="K497" s="53">
        <f t="shared" si="35"/>
        <v>85000</v>
      </c>
      <c r="L497" s="24" t="s">
        <v>288</v>
      </c>
      <c r="N497" s="265"/>
    </row>
    <row r="498" spans="1:14" s="52" customFormat="1" ht="12.2" customHeight="1" x14ac:dyDescent="0.2">
      <c r="A498" s="200" t="s">
        <v>622</v>
      </c>
      <c r="B498" s="201">
        <v>20</v>
      </c>
      <c r="C498" s="202">
        <v>9</v>
      </c>
      <c r="D498" s="203" t="s">
        <v>432</v>
      </c>
      <c r="E498" s="202"/>
      <c r="F498" s="204">
        <f>F495-F497</f>
        <v>30000</v>
      </c>
      <c r="G498" s="204">
        <f>G495-G497</f>
        <v>155000</v>
      </c>
      <c r="H498" s="204"/>
      <c r="I498" s="204"/>
      <c r="J498" s="204"/>
      <c r="K498" s="205">
        <f t="shared" si="35"/>
        <v>185000</v>
      </c>
      <c r="L498" s="206" t="s">
        <v>288</v>
      </c>
      <c r="N498" s="265"/>
    </row>
    <row r="499" spans="1:14" s="52" customFormat="1" ht="12.2" customHeight="1" thickBot="1" x14ac:dyDescent="0.25">
      <c r="A499" s="22" t="s">
        <v>623</v>
      </c>
      <c r="B499" s="75">
        <v>20</v>
      </c>
      <c r="C499" s="115">
        <v>10</v>
      </c>
      <c r="D499" s="2" t="s">
        <v>432</v>
      </c>
      <c r="E499" s="115"/>
      <c r="F499" s="18">
        <v>2400</v>
      </c>
      <c r="G499" s="18">
        <v>16056.25</v>
      </c>
      <c r="H499" s="18"/>
      <c r="I499" s="18"/>
      <c r="J499" s="18"/>
      <c r="K499" s="53">
        <f t="shared" si="35"/>
        <v>18456.25</v>
      </c>
      <c r="L499" s="24" t="s">
        <v>288</v>
      </c>
      <c r="N499" s="265"/>
    </row>
    <row r="500" spans="1:14" s="52" customFormat="1" ht="12.2" customHeight="1" thickTop="1" x14ac:dyDescent="0.2">
      <c r="A500" s="139" t="s">
        <v>624</v>
      </c>
      <c r="B500" s="44">
        <v>20</v>
      </c>
      <c r="C500" s="195">
        <v>11</v>
      </c>
      <c r="D500" s="39" t="s">
        <v>432</v>
      </c>
      <c r="E500" s="195"/>
      <c r="F500" s="42">
        <f>SUM(F498:F499)</f>
        <v>32400</v>
      </c>
      <c r="G500" s="42">
        <f>SUM(G498:G499)</f>
        <v>171056.25</v>
      </c>
      <c r="H500" s="42">
        <f>SUM(H498:H499)</f>
        <v>0</v>
      </c>
      <c r="I500" s="42">
        <f>SUM(I498:I499)</f>
        <v>0</v>
      </c>
      <c r="J500" s="42">
        <f>SUM(J498:J499)</f>
        <v>0</v>
      </c>
      <c r="K500" s="42">
        <f t="shared" si="35"/>
        <v>203456.25</v>
      </c>
      <c r="L500" s="45" t="s">
        <v>288</v>
      </c>
      <c r="N500" s="265"/>
    </row>
    <row r="501" spans="1:14" s="52" customFormat="1" ht="12.2" customHeight="1" x14ac:dyDescent="0.2">
      <c r="A501" s="200" t="s">
        <v>651</v>
      </c>
      <c r="B501" s="201">
        <v>20</v>
      </c>
      <c r="C501" s="202">
        <v>12</v>
      </c>
      <c r="D501" s="203" t="s">
        <v>432</v>
      </c>
      <c r="E501" s="202"/>
      <c r="F501" s="204">
        <v>30000</v>
      </c>
      <c r="G501" s="204">
        <v>55000</v>
      </c>
      <c r="H501" s="204"/>
      <c r="I501" s="204"/>
      <c r="J501" s="204"/>
      <c r="K501" s="205">
        <f t="shared" si="35"/>
        <v>85000</v>
      </c>
      <c r="L501" s="206" t="s">
        <v>288</v>
      </c>
      <c r="N501" s="265"/>
    </row>
    <row r="502" spans="1:14" s="52" customFormat="1" ht="12.2" customHeight="1" thickBot="1" x14ac:dyDescent="0.25">
      <c r="A502" s="22" t="s">
        <v>625</v>
      </c>
      <c r="B502" s="75">
        <v>20</v>
      </c>
      <c r="C502" s="115">
        <v>13</v>
      </c>
      <c r="D502" s="2" t="s">
        <v>432</v>
      </c>
      <c r="E502" s="115"/>
      <c r="F502" s="18">
        <v>2400</v>
      </c>
      <c r="G502" s="18">
        <v>6956.25</v>
      </c>
      <c r="H502" s="18"/>
      <c r="I502" s="18"/>
      <c r="J502" s="18"/>
      <c r="K502" s="53">
        <f t="shared" si="35"/>
        <v>9356.25</v>
      </c>
      <c r="L502" s="24" t="s">
        <v>288</v>
      </c>
      <c r="N502" s="265"/>
    </row>
    <row r="503" spans="1:14" s="52" customFormat="1" ht="12.2" customHeight="1" thickTop="1" x14ac:dyDescent="0.2">
      <c r="A503" s="139" t="s">
        <v>626</v>
      </c>
      <c r="B503" s="44">
        <v>20</v>
      </c>
      <c r="C503" s="195">
        <v>14</v>
      </c>
      <c r="D503" s="39" t="s">
        <v>432</v>
      </c>
      <c r="E503" s="195"/>
      <c r="F503" s="42">
        <f>SUM(F501:F502)</f>
        <v>32400</v>
      </c>
      <c r="G503" s="42">
        <f>SUM(G501:G502)</f>
        <v>61956.25</v>
      </c>
      <c r="H503" s="42">
        <f>SUM(H501:H502)</f>
        <v>0</v>
      </c>
      <c r="I503" s="42">
        <f>SUM(I501:I502)</f>
        <v>0</v>
      </c>
      <c r="J503" s="42">
        <f>SUM(J501:J502)</f>
        <v>0</v>
      </c>
      <c r="K503" s="42">
        <f t="shared" si="35"/>
        <v>94356.25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F198+F277</f>
        <v>394283.54000000004</v>
      </c>
      <c r="G521" s="18">
        <f>G277+G198</f>
        <v>288058.17</v>
      </c>
      <c r="H521" s="18">
        <f>H277+H198</f>
        <v>631057.35</v>
      </c>
      <c r="I521" s="18">
        <f>I277+I198</f>
        <v>5932.59</v>
      </c>
      <c r="J521" s="18">
        <f>J277+J198</f>
        <v>686.89</v>
      </c>
      <c r="K521" s="18">
        <f>K198</f>
        <v>2298</v>
      </c>
      <c r="L521" s="88">
        <f>SUM(F521:K521)</f>
        <v>1322316.54</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f>H234</f>
        <v>56146.04</v>
      </c>
      <c r="I523" s="18"/>
      <c r="J523" s="18"/>
      <c r="K523" s="18"/>
      <c r="L523" s="88">
        <f>SUM(F523:K523)</f>
        <v>56146.04</v>
      </c>
      <c r="N523" s="265"/>
    </row>
    <row r="524" spans="1:14" s="52" customFormat="1" ht="12.2" customHeight="1" thickTop="1" x14ac:dyDescent="0.2">
      <c r="A524" s="139" t="s">
        <v>63</v>
      </c>
      <c r="B524" s="107">
        <v>21</v>
      </c>
      <c r="C524" s="195">
        <v>4</v>
      </c>
      <c r="D524" s="196" t="s">
        <v>432</v>
      </c>
      <c r="E524" s="195"/>
      <c r="F524" s="108">
        <f>SUM(F521:F523)</f>
        <v>394283.54000000004</v>
      </c>
      <c r="G524" s="108">
        <f t="shared" ref="G524:L524" si="36">SUM(G521:G523)</f>
        <v>288058.17</v>
      </c>
      <c r="H524" s="108">
        <f t="shared" si="36"/>
        <v>687203.39</v>
      </c>
      <c r="I524" s="108">
        <f t="shared" si="36"/>
        <v>5932.59</v>
      </c>
      <c r="J524" s="108">
        <f t="shared" si="36"/>
        <v>686.89</v>
      </c>
      <c r="K524" s="108">
        <f t="shared" si="36"/>
        <v>2298</v>
      </c>
      <c r="L524" s="89">
        <f t="shared" si="36"/>
        <v>1378462.58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F202</f>
        <v>119098</v>
      </c>
      <c r="G526" s="18">
        <f>G202</f>
        <v>84669.440000000002</v>
      </c>
      <c r="H526" s="18">
        <f t="shared" ref="H526:K526" si="37">H202</f>
        <v>49655.65</v>
      </c>
      <c r="I526" s="18">
        <f t="shared" si="37"/>
        <v>3048.48</v>
      </c>
      <c r="J526" s="18">
        <f t="shared" si="37"/>
        <v>38096.009999999995</v>
      </c>
      <c r="K526" s="18">
        <f t="shared" si="37"/>
        <v>403.99</v>
      </c>
      <c r="L526" s="88">
        <f>SUM(F526:K526)</f>
        <v>294971.57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119098</v>
      </c>
      <c r="G529" s="89">
        <f t="shared" ref="G529:L529" si="38">SUM(G526:G528)</f>
        <v>84669.440000000002</v>
      </c>
      <c r="H529" s="89">
        <f t="shared" si="38"/>
        <v>49655.65</v>
      </c>
      <c r="I529" s="89">
        <f t="shared" si="38"/>
        <v>3048.48</v>
      </c>
      <c r="J529" s="89">
        <f t="shared" si="38"/>
        <v>38096.009999999995</v>
      </c>
      <c r="K529" s="89">
        <f t="shared" si="38"/>
        <v>403.99</v>
      </c>
      <c r="L529" s="89">
        <f t="shared" si="38"/>
        <v>294971.57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66800</v>
      </c>
      <c r="G531" s="18"/>
      <c r="H531" s="18"/>
      <c r="I531" s="18"/>
      <c r="J531" s="18"/>
      <c r="K531" s="18"/>
      <c r="L531" s="88">
        <f>SUM(F531:K531)</f>
        <v>66800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66800</v>
      </c>
      <c r="G534" s="89">
        <f t="shared" ref="G534:L534" si="39">SUM(G531:G533)</f>
        <v>0</v>
      </c>
      <c r="H534" s="89">
        <f t="shared" si="39"/>
        <v>0</v>
      </c>
      <c r="I534" s="89">
        <f t="shared" si="39"/>
        <v>0</v>
      </c>
      <c r="J534" s="89">
        <f t="shared" si="39"/>
        <v>0</v>
      </c>
      <c r="K534" s="89">
        <f t="shared" si="39"/>
        <v>0</v>
      </c>
      <c r="L534" s="89">
        <f t="shared" si="39"/>
        <v>66800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f>H592</f>
        <v>59182.71</v>
      </c>
      <c r="I541" s="18"/>
      <c r="J541" s="18"/>
      <c r="K541" s="18"/>
      <c r="L541" s="88">
        <f>SUM(F541:K541)</f>
        <v>59182.71</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59182.71</v>
      </c>
      <c r="I544" s="193">
        <f t="shared" si="41"/>
        <v>0</v>
      </c>
      <c r="J544" s="193">
        <f t="shared" si="41"/>
        <v>0</v>
      </c>
      <c r="K544" s="193">
        <f t="shared" si="41"/>
        <v>0</v>
      </c>
      <c r="L544" s="193">
        <f t="shared" si="41"/>
        <v>59182.71</v>
      </c>
      <c r="M544" s="8"/>
      <c r="N544" s="266"/>
    </row>
    <row r="545" spans="1:14" s="3" customFormat="1" ht="12.2" customHeight="1" thickTop="1" x14ac:dyDescent="0.15">
      <c r="A545" s="98" t="s">
        <v>72</v>
      </c>
      <c r="B545" s="107">
        <v>21</v>
      </c>
      <c r="C545" s="107">
        <v>21</v>
      </c>
      <c r="D545" s="158" t="s">
        <v>432</v>
      </c>
      <c r="E545" s="107"/>
      <c r="F545" s="89">
        <f>F524+F529+F534+F539+F544</f>
        <v>580181.54</v>
      </c>
      <c r="G545" s="89">
        <f t="shared" ref="G545:L545" si="42">G524+G529+G534+G539+G544</f>
        <v>372727.61</v>
      </c>
      <c r="H545" s="89">
        <f t="shared" si="42"/>
        <v>796041.75</v>
      </c>
      <c r="I545" s="89">
        <f t="shared" si="42"/>
        <v>8981.07</v>
      </c>
      <c r="J545" s="89">
        <f t="shared" si="42"/>
        <v>38782.899999999994</v>
      </c>
      <c r="K545" s="89">
        <f t="shared" si="42"/>
        <v>2701.99</v>
      </c>
      <c r="L545" s="89">
        <f t="shared" si="42"/>
        <v>1799416.86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1322316.54</v>
      </c>
      <c r="G549" s="87">
        <f>L526</f>
        <v>294971.57</v>
      </c>
      <c r="H549" s="87">
        <f>L531</f>
        <v>66800</v>
      </c>
      <c r="I549" s="87">
        <f>L536</f>
        <v>0</v>
      </c>
      <c r="J549" s="87">
        <f>L541</f>
        <v>59182.71</v>
      </c>
      <c r="K549" s="87">
        <f>SUM(F549:J549)</f>
        <v>1743270.82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56146.04</v>
      </c>
      <c r="G551" s="87">
        <f>L528</f>
        <v>0</v>
      </c>
      <c r="H551" s="87">
        <f>L533</f>
        <v>0</v>
      </c>
      <c r="I551" s="87">
        <f>L538</f>
        <v>0</v>
      </c>
      <c r="J551" s="87">
        <f>L543</f>
        <v>0</v>
      </c>
      <c r="K551" s="87">
        <f>SUM(F551:J551)</f>
        <v>56146.04</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1378462.58</v>
      </c>
      <c r="G552" s="89">
        <f t="shared" si="43"/>
        <v>294971.57</v>
      </c>
      <c r="H552" s="89">
        <f t="shared" si="43"/>
        <v>66800</v>
      </c>
      <c r="I552" s="89">
        <f t="shared" si="43"/>
        <v>0</v>
      </c>
      <c r="J552" s="89">
        <f t="shared" si="43"/>
        <v>59182.71</v>
      </c>
      <c r="K552" s="89">
        <f t="shared" si="43"/>
        <v>1799416.86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0</v>
      </c>
      <c r="J571" s="89">
        <f t="shared" si="47"/>
        <v>0</v>
      </c>
      <c r="K571" s="89">
        <f t="shared" si="47"/>
        <v>0</v>
      </c>
      <c r="L571" s="89">
        <f t="shared" si="47"/>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1166300.9099999999</v>
      </c>
      <c r="I575" s="87">
        <f>SUM(F575:H575)</f>
        <v>1166300.9099999999</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8995</v>
      </c>
      <c r="I576" s="87">
        <f t="shared" ref="I576:I587" si="48">SUM(F576:H576)</f>
        <v>8995</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8"/>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8"/>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467929.58</v>
      </c>
      <c r="G583" s="18"/>
      <c r="H583" s="18">
        <v>56146.04</v>
      </c>
      <c r="I583" s="87">
        <f t="shared" si="48"/>
        <v>524075.62</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8"/>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183246.57-J591</f>
        <v>134557.96000000002</v>
      </c>
      <c r="I591" s="18"/>
      <c r="J591" s="18">
        <v>48688.61</v>
      </c>
      <c r="K591" s="104">
        <f t="shared" ref="K591:K597" si="49">SUM(H591:J591)</f>
        <v>183246.57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59182.71</v>
      </c>
      <c r="I592" s="18"/>
      <c r="J592" s="18"/>
      <c r="K592" s="104">
        <f t="shared" si="49"/>
        <v>59182.71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9"/>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2565.1</v>
      </c>
      <c r="I594" s="18"/>
      <c r="J594" s="18"/>
      <c r="K594" s="104">
        <f t="shared" si="49"/>
        <v>2565.1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6709.02</v>
      </c>
      <c r="I595" s="18"/>
      <c r="J595" s="18"/>
      <c r="K595" s="104">
        <f t="shared" si="49"/>
        <v>6709.02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203014.79</v>
      </c>
      <c r="I598" s="108">
        <f>SUM(I591:I597)</f>
        <v>0</v>
      </c>
      <c r="J598" s="108">
        <f>SUM(J591:J597)</f>
        <v>48688.61</v>
      </c>
      <c r="K598" s="108">
        <f>SUM(K591:K597)</f>
        <v>251703.4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J271+J352</f>
        <v>52849.179999999993</v>
      </c>
      <c r="I604" s="18"/>
      <c r="J604" s="18"/>
      <c r="K604" s="104">
        <f>SUM(H604:J604)</f>
        <v>52849.179999999993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52849.179999999993</v>
      </c>
      <c r="I605" s="108">
        <f>SUM(I602:I604)</f>
        <v>0</v>
      </c>
      <c r="J605" s="108">
        <f>SUM(J602:J604)</f>
        <v>0</v>
      </c>
      <c r="K605" s="108">
        <f>SUM(K602:K604)</f>
        <v>52849.179999999993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266555.57</v>
      </c>
      <c r="H617" s="109">
        <f>SUM(F52)</f>
        <v>266555.57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18951.41</v>
      </c>
      <c r="H618" s="109">
        <f>SUM(G52)</f>
        <v>18951.41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22784</v>
      </c>
      <c r="H619" s="109">
        <f>SUM(H52)</f>
        <v>22784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417099.55</v>
      </c>
      <c r="H621" s="109">
        <f>SUM(J52)</f>
        <v>417099.55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172650.2</v>
      </c>
      <c r="H622" s="109">
        <f>F476</f>
        <v>172650.19999999739</v>
      </c>
      <c r="I622" s="121" t="s">
        <v>101</v>
      </c>
      <c r="J622" s="109">
        <f t="shared" ref="J622:J655" si="51">G622-H622</f>
        <v>2.6193447411060333E-9</v>
      </c>
      <c r="K622" s="109"/>
      <c r="L622" s="109"/>
      <c r="M622" s="8"/>
    </row>
    <row r="623" spans="1:14" s="3" customFormat="1" ht="12.2" customHeight="1" x14ac:dyDescent="0.15">
      <c r="A623" s="97"/>
      <c r="B623" s="105"/>
      <c r="C623" s="119"/>
      <c r="D623" s="119"/>
      <c r="E623" s="119"/>
      <c r="F623" s="119" t="s">
        <v>866</v>
      </c>
      <c r="G623" s="109">
        <f>G51</f>
        <v>7958.9</v>
      </c>
      <c r="H623" s="109">
        <f>G476</f>
        <v>7958.9000000000015</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12568</v>
      </c>
      <c r="H624" s="109">
        <f>H476</f>
        <v>12568</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417099.55</v>
      </c>
      <c r="H626" s="109">
        <f>J476</f>
        <v>417099.55</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6694460.3899999997</v>
      </c>
      <c r="H627" s="104">
        <f>SUM(F468)</f>
        <v>6694460.3899999997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53676.33</v>
      </c>
      <c r="H628" s="104">
        <f>SUM(G468)</f>
        <v>53676.33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96083.4</v>
      </c>
      <c r="H629" s="104">
        <f>SUM(H468)</f>
        <v>96083.4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59003.99</v>
      </c>
      <c r="H631" s="104">
        <f>SUM(J468)</f>
        <v>59003.99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6649663.660000002</v>
      </c>
      <c r="H632" s="104">
        <f>SUM(F472)</f>
        <v>6649663.660000002</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85415.56</v>
      </c>
      <c r="H633" s="104">
        <f>SUM(H472)</f>
        <v>85415.56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11.47</v>
      </c>
      <c r="H634" s="104">
        <f>I369</f>
        <v>11.47</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53676.33</v>
      </c>
      <c r="H635" s="104">
        <f>SUM(G472)</f>
        <v>53676.33</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59003.99</v>
      </c>
      <c r="H637" s="164">
        <f>SUM(J468)</f>
        <v>59003.99</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29311.56</v>
      </c>
      <c r="H639" s="104">
        <f>SUM(F461)</f>
        <v>29311.56</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387787.99</v>
      </c>
      <c r="H640" s="104">
        <f>SUM(G461)</f>
        <v>387787.99</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417099.55</v>
      </c>
      <c r="H642" s="104">
        <f>SUM(I461)</f>
        <v>417099.55</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9003.99</v>
      </c>
      <c r="H644" s="104">
        <f>H408</f>
        <v>9003.99</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59003.99</v>
      </c>
      <c r="H646" s="104">
        <f>L408</f>
        <v>59003.99</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251703.4</v>
      </c>
      <c r="H647" s="104">
        <f>L208+L226+L244</f>
        <v>251703.39999999997</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52849.179999999993</v>
      </c>
      <c r="H648" s="104">
        <f>(J257+J338)-(J255+J336)</f>
        <v>52849.179999999993</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203014.78999999998</v>
      </c>
      <c r="H649" s="104">
        <f>H598</f>
        <v>203014.79</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48688.61</v>
      </c>
      <c r="H651" s="104">
        <f>J598</f>
        <v>48688.61</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11093.69</v>
      </c>
      <c r="H652" s="104">
        <f>K263+K345</f>
        <v>11093.69</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5297459.5100000007</v>
      </c>
      <c r="G660" s="19">
        <f>(L229+L309+L359)</f>
        <v>0</v>
      </c>
      <c r="H660" s="19">
        <f>(L247+L328+L360)</f>
        <v>1280130.5600000001</v>
      </c>
      <c r="I660" s="19">
        <f>SUM(F660:H660)</f>
        <v>6577590.0700000003</v>
      </c>
      <c r="J660" s="13"/>
      <c r="K660" s="13"/>
      <c r="L660" s="13"/>
      <c r="M660" s="9"/>
    </row>
    <row r="661" spans="1:13" s="3" customFormat="1" ht="12.2" customHeight="1" x14ac:dyDescent="0.2">
      <c r="A661" s="1" t="s">
        <v>127</v>
      </c>
      <c r="F661" s="19">
        <f>(L358/IF(SUM(L358:L360)=0,1,SUM(L358:L360))*(SUM(G97:G110)))</f>
        <v>33241.660000000003</v>
      </c>
      <c r="G661" s="19">
        <f>(L359/IF(SUM(L358:L360)=0,1,SUM(L358:L360))*(SUM(G97:G110)))</f>
        <v>0</v>
      </c>
      <c r="H661" s="19">
        <f>(L360/IF(SUM(L358:L360)=0,1,SUM(L358:L360))*(SUM(G97:G110)))</f>
        <v>0</v>
      </c>
      <c r="I661" s="19">
        <f>SUM(F661:H661)</f>
        <v>33241.660000000003</v>
      </c>
      <c r="J661"/>
      <c r="K661" s="13"/>
      <c r="L661" s="13"/>
      <c r="M661" s="9"/>
    </row>
    <row r="662" spans="1:13" s="3" customFormat="1" ht="12.2" customHeight="1" x14ac:dyDescent="0.2">
      <c r="A662" s="1" t="s">
        <v>128</v>
      </c>
      <c r="F662" s="19">
        <f>(L208+L287)-(J208+J287)</f>
        <v>203014.78999999998</v>
      </c>
      <c r="G662" s="19">
        <f>(L226+L306)-(J226+J306)</f>
        <v>0</v>
      </c>
      <c r="H662" s="19">
        <f>(L244+L325)-(J244+J325)</f>
        <v>48688.61</v>
      </c>
      <c r="I662" s="19">
        <f>SUM(F662:H662)</f>
        <v>251703.39999999997</v>
      </c>
      <c r="J662"/>
      <c r="K662" s="13"/>
      <c r="L662" s="13"/>
      <c r="M662" s="8"/>
    </row>
    <row r="663" spans="1:13" s="3" customFormat="1" ht="12.2" customHeight="1" x14ac:dyDescent="0.15">
      <c r="A663" s="198" t="s">
        <v>129</v>
      </c>
      <c r="B663" s="169"/>
      <c r="C663" s="169"/>
      <c r="D663" s="169"/>
      <c r="E663" s="169"/>
      <c r="F663" s="199">
        <f>SUM(F575:F587)+SUM(H602:H604)+SUM(L611)</f>
        <v>520778.76</v>
      </c>
      <c r="G663" s="199">
        <f>SUM(G575:G587)+SUM(I602:I604)+L612</f>
        <v>0</v>
      </c>
      <c r="H663" s="199">
        <f>SUM(H575:H587)+SUM(J602:J604)+L613</f>
        <v>1231441.95</v>
      </c>
      <c r="I663" s="19">
        <f>SUM(F663:H663)</f>
        <v>1752220.71</v>
      </c>
      <c r="J663" s="13"/>
      <c r="K663" s="13"/>
      <c r="L663" s="13"/>
      <c r="M663" s="9"/>
    </row>
    <row r="664" spans="1:13" s="3" customFormat="1" ht="12.2" customHeight="1" x14ac:dyDescent="0.15">
      <c r="A664" s="1" t="s">
        <v>130</v>
      </c>
      <c r="F664" s="19">
        <f>F660-SUM(F661:F663)</f>
        <v>4540424.3000000007</v>
      </c>
      <c r="G664" s="19">
        <f>G660-SUM(G661:G663)</f>
        <v>0</v>
      </c>
      <c r="H664" s="19">
        <f>H660-SUM(H661:H663)</f>
        <v>0</v>
      </c>
      <c r="I664" s="19">
        <f>I660-SUM(I661:I663)</f>
        <v>4540424.3000000007</v>
      </c>
      <c r="J664" s="13"/>
      <c r="K664" s="13"/>
      <c r="L664" s="13"/>
      <c r="M664" s="9"/>
    </row>
    <row r="665" spans="1:13" s="3" customFormat="1" ht="12.2" customHeight="1" x14ac:dyDescent="0.2">
      <c r="A665" s="1" t="s">
        <v>131</v>
      </c>
      <c r="F665" s="246">
        <v>209.1</v>
      </c>
      <c r="G665" s="247"/>
      <c r="H665" s="247"/>
      <c r="I665" s="19">
        <f>SUM(F665:H665)</f>
        <v>209.1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21714.13</v>
      </c>
      <c r="G667" s="19" t="e">
        <f>ROUND(G664/G665,2)</f>
        <v>#DIV/0!</v>
      </c>
      <c r="H667" s="19" t="e">
        <f>ROUND(H664/H665,2)</f>
        <v>#DIV/0!</v>
      </c>
      <c r="I667" s="19">
        <f>ROUND(I664/I665,2)</f>
        <v>21714.13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21714.13</v>
      </c>
      <c r="G672" s="19" t="e">
        <f>ROUND((G664+G669)/(G665+G670),2)</f>
        <v>#DIV/0!</v>
      </c>
      <c r="H672" s="19" t="e">
        <f>ROUND((H664+H669)/(H665+H670),2)</f>
        <v>#DIV/0!</v>
      </c>
      <c r="I672" s="19">
        <f>ROUND((I664+I669)/(I665+I670),2)</f>
        <v>21714.13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Plainfield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1335198.1499999999</v>
      </c>
      <c r="C9" s="229">
        <f>'DOE25'!G197+'DOE25'!G215+'DOE25'!G233+'DOE25'!G276+'DOE25'!G295+'DOE25'!G314</f>
        <v>705929.9</v>
      </c>
    </row>
    <row r="10" spans="1:3" x14ac:dyDescent="0.2">
      <c r="A10" t="s">
        <v>775</v>
      </c>
      <c r="B10" s="240">
        <f>1294082.54+306.74</f>
        <v>1294389.28</v>
      </c>
      <c r="C10" s="240">
        <v>684353.86</v>
      </c>
    </row>
    <row r="11" spans="1:3" x14ac:dyDescent="0.2">
      <c r="A11" t="s">
        <v>776</v>
      </c>
      <c r="B11" s="240">
        <v>21640.959999999999</v>
      </c>
      <c r="C11" s="240">
        <v>11441.71</v>
      </c>
    </row>
    <row r="12" spans="1:3" x14ac:dyDescent="0.2">
      <c r="A12" t="s">
        <v>777</v>
      </c>
      <c r="B12" s="240">
        <v>19167.91</v>
      </c>
      <c r="C12" s="240">
        <f>+C9-C10-C11</f>
        <v>10134.330000000038</v>
      </c>
    </row>
    <row r="13" spans="1:3" x14ac:dyDescent="0.2">
      <c r="A13" t="str">
        <f>IF(B9=B13,IF(C9=C13,"Check Total OK","Check Total Error"),"Check Total Error")</f>
        <v>Check Total OK</v>
      </c>
      <c r="B13" s="231">
        <f>SUM(B10:B12)</f>
        <v>1335198.1499999999</v>
      </c>
      <c r="C13" s="231">
        <f>SUM(C10:C12)</f>
        <v>705929.9</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394283.54000000004</v>
      </c>
      <c r="C18" s="229">
        <f>'DOE25'!G198+'DOE25'!G216+'DOE25'!G234+'DOE25'!G277+'DOE25'!G296+'DOE25'!G315</f>
        <v>288058.17</v>
      </c>
    </row>
    <row r="19" spans="1:3" x14ac:dyDescent="0.2">
      <c r="A19" t="s">
        <v>775</v>
      </c>
      <c r="B19" s="240">
        <v>116222.21</v>
      </c>
      <c r="C19" s="240">
        <v>84910.62</v>
      </c>
    </row>
    <row r="20" spans="1:3" x14ac:dyDescent="0.2">
      <c r="A20" t="s">
        <v>776</v>
      </c>
      <c r="B20" s="240">
        <f>245848.25+6918.45+14199.96</f>
        <v>266966.66000000003</v>
      </c>
      <c r="C20" s="240">
        <v>195042.17</v>
      </c>
    </row>
    <row r="21" spans="1:3" x14ac:dyDescent="0.2">
      <c r="A21" t="s">
        <v>777</v>
      </c>
      <c r="B21" s="240">
        <v>11094.67</v>
      </c>
      <c r="C21" s="323">
        <v>8105.38</v>
      </c>
    </row>
    <row r="22" spans="1:3" x14ac:dyDescent="0.2">
      <c r="A22" t="str">
        <f>IF(B18=B22,IF(C18=C22,"Check Total OK","Check Total Error"),"Check Total Error")</f>
        <v>Check Total OK</v>
      </c>
      <c r="B22" s="231">
        <f>SUM(B19:B21)</f>
        <v>394283.54000000004</v>
      </c>
      <c r="C22" s="231">
        <f>SUM(C19:C21)</f>
        <v>288058.17000000004</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25200</v>
      </c>
      <c r="C36" s="235">
        <f>'DOE25'!G200+'DOE25'!G218+'DOE25'!G236+'DOE25'!G279+'DOE25'!G298+'DOE25'!G317</f>
        <v>3800.27</v>
      </c>
    </row>
    <row r="37" spans="1:3" x14ac:dyDescent="0.2">
      <c r="A37" t="s">
        <v>775</v>
      </c>
      <c r="B37" s="240">
        <v>15460</v>
      </c>
      <c r="C37" s="240">
        <v>2331.44</v>
      </c>
    </row>
    <row r="38" spans="1:3" x14ac:dyDescent="0.2">
      <c r="A38" t="s">
        <v>776</v>
      </c>
      <c r="B38" s="240"/>
      <c r="C38" s="240"/>
    </row>
    <row r="39" spans="1:3" x14ac:dyDescent="0.2">
      <c r="A39" t="s">
        <v>777</v>
      </c>
      <c r="B39" s="240">
        <v>9740</v>
      </c>
      <c r="C39" s="240">
        <f>+C36-C37</f>
        <v>1468.83</v>
      </c>
    </row>
    <row r="40" spans="1:3" x14ac:dyDescent="0.2">
      <c r="A40" t="str">
        <f>IF(B36=B40,IF(C36=C40,"Check Total OK","Check Total Error"),"Check Total Error")</f>
        <v>Check Total OK</v>
      </c>
      <c r="B40" s="231">
        <f>SUM(B37:B39)</f>
        <v>25200</v>
      </c>
      <c r="C40" s="231">
        <f>SUM(C37:C39)</f>
        <v>3800.27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Plainfield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4694744.07</v>
      </c>
      <c r="D5" s="20">
        <f>SUM('DOE25'!L197:L200)+SUM('DOE25'!L215:L218)+SUM('DOE25'!L233:L236)-F5-G5-H5</f>
        <v>4673271.05</v>
      </c>
      <c r="E5" s="243"/>
      <c r="F5" s="244"/>
      <c r="G5" s="53">
        <f>SUM('DOE25'!J197:J200)+SUM('DOE25'!J215:J218)+SUM('DOE25'!J233:J236)</f>
        <v>3996.9500000000003</v>
      </c>
      <c r="H5" s="53">
        <f>SUM('DOE25'!K197:K200)+SUM('DOE25'!K215:K218)+SUM('DOE25'!K233:K236)</f>
        <v>17476.07</v>
      </c>
      <c r="I5" s="256"/>
    </row>
    <row r="6" spans="1:9" x14ac:dyDescent="0.2">
      <c r="A6" s="32">
        <v>2100</v>
      </c>
      <c r="B6" t="s">
        <v>796</v>
      </c>
      <c r="C6" s="276">
        <f t="shared" si="0"/>
        <v>294971.57</v>
      </c>
      <c r="D6" s="20">
        <f>'DOE25'!L202+'DOE25'!L220+'DOE25'!L238-F6-G6-H6</f>
        <v>256471.57</v>
      </c>
      <c r="E6" s="243"/>
      <c r="F6" s="244"/>
      <c r="G6" s="53">
        <f>'DOE25'!J202+'DOE25'!J220+'DOE25'!J238</f>
        <v>38096.009999999995</v>
      </c>
      <c r="H6" s="53">
        <f>'DOE25'!K202+'DOE25'!K220+'DOE25'!K238</f>
        <v>403.99</v>
      </c>
      <c r="I6" s="256"/>
    </row>
    <row r="7" spans="1:9" x14ac:dyDescent="0.2">
      <c r="A7" s="32">
        <v>2200</v>
      </c>
      <c r="B7" t="s">
        <v>821</v>
      </c>
      <c r="C7" s="276">
        <f t="shared" si="0"/>
        <v>147818.58000000002</v>
      </c>
      <c r="D7" s="20">
        <f>'DOE25'!L203+'DOE25'!L221+'DOE25'!L239-F7-G7-H7</f>
        <v>146734.30000000002</v>
      </c>
      <c r="E7" s="243"/>
      <c r="F7" s="244"/>
      <c r="G7" s="53">
        <f>'DOE25'!J203+'DOE25'!J221+'DOE25'!J239</f>
        <v>1031.78</v>
      </c>
      <c r="H7" s="53">
        <f>'DOE25'!K203+'DOE25'!K221+'DOE25'!K239</f>
        <v>52.5</v>
      </c>
      <c r="I7" s="256"/>
    </row>
    <row r="8" spans="1:9" x14ac:dyDescent="0.2">
      <c r="A8" s="32">
        <v>2300</v>
      </c>
      <c r="B8" t="s">
        <v>797</v>
      </c>
      <c r="C8" s="276">
        <f t="shared" si="0"/>
        <v>434921.71</v>
      </c>
      <c r="D8" s="243"/>
      <c r="E8" s="20">
        <f>'DOE25'!L204+'DOE25'!L222+'DOE25'!L240-F8-G8-H8-D9-D11</f>
        <v>420509.49</v>
      </c>
      <c r="F8" s="244"/>
      <c r="G8" s="53">
        <f>'DOE25'!J204+'DOE25'!J222+'DOE25'!J240</f>
        <v>1304.1300000000001</v>
      </c>
      <c r="H8" s="53">
        <f>'DOE25'!K204+'DOE25'!K222+'DOE25'!K240</f>
        <v>13108.09</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313714.03000000003</v>
      </c>
      <c r="D12" s="20">
        <f>'DOE25'!L205+'DOE25'!L223+'DOE25'!L241-F12-G12-H12</f>
        <v>313049.65000000002</v>
      </c>
      <c r="E12" s="243"/>
      <c r="F12" s="244"/>
      <c r="G12" s="53">
        <f>'DOE25'!J205+'DOE25'!J223+'DOE25'!J241</f>
        <v>0</v>
      </c>
      <c r="H12" s="53">
        <f>'DOE25'!K205+'DOE25'!K223+'DOE25'!K241</f>
        <v>664.38</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300624.82</v>
      </c>
      <c r="D14" s="20">
        <f>'DOE25'!L207+'DOE25'!L225+'DOE25'!L243-F14-G14-H14</f>
        <v>292269.48</v>
      </c>
      <c r="E14" s="243"/>
      <c r="F14" s="244"/>
      <c r="G14" s="53">
        <f>'DOE25'!J207+'DOE25'!J225+'DOE25'!J243</f>
        <v>7735.34</v>
      </c>
      <c r="H14" s="53">
        <f>'DOE25'!K207+'DOE25'!K225+'DOE25'!K243</f>
        <v>620</v>
      </c>
      <c r="I14" s="256"/>
    </row>
    <row r="15" spans="1:9" x14ac:dyDescent="0.2">
      <c r="A15" s="32">
        <v>2700</v>
      </c>
      <c r="B15" t="s">
        <v>799</v>
      </c>
      <c r="C15" s="276">
        <f t="shared" si="0"/>
        <v>251703.39999999997</v>
      </c>
      <c r="D15" s="20">
        <f>'DOE25'!L208+'DOE25'!L226+'DOE25'!L244-F15-G15-H15</f>
        <v>251703.39999999997</v>
      </c>
      <c r="E15" s="243"/>
      <c r="F15" s="244"/>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52659.29</v>
      </c>
      <c r="D22" s="243"/>
      <c r="E22" s="243"/>
      <c r="F22" s="243"/>
      <c r="G22" s="53">
        <f>'DOE25'!L255+'DOE25'!L336</f>
        <v>52659.29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97412.5</v>
      </c>
      <c r="D25" s="243"/>
      <c r="E25" s="243"/>
      <c r="F25" s="255"/>
      <c r="G25" s="253"/>
      <c r="H25" s="253"/>
      <c r="I25" s="254">
        <f>'DOE25'!L260+'DOE25'!L261+'DOE25'!L341+'DOE25'!L342</f>
        <v>97412.5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53676.33</v>
      </c>
      <c r="D29" s="284">
        <f>'DOE25'!L358+'DOE25'!L359+'DOE25'!L360-'DOE25'!I367-F29-G29-H29</f>
        <v>53568.33</v>
      </c>
      <c r="E29" s="243"/>
      <c r="F29" s="244"/>
      <c r="G29" s="53">
        <f>'DOE25'!J358+'DOE25'!J359+'DOE25'!J360</f>
        <v>0</v>
      </c>
      <c r="H29" s="53">
        <f>'DOE25'!K358+'DOE25'!K359+'DOE25'!K360</f>
        <v>108</v>
      </c>
      <c r="I29" s="256"/>
    </row>
    <row r="30" spans="1:9" x14ac:dyDescent="0.2">
      <c r="A30" s="32"/>
      <c r="C30" s="277"/>
      <c r="D30" s="20"/>
      <c r="E30" s="281"/>
      <c r="F30" s="271"/>
      <c r="G30" s="53"/>
      <c r="H30" s="53"/>
      <c r="I30" s="256"/>
    </row>
    <row r="31" spans="1:9" x14ac:dyDescent="0.2">
      <c r="A31" s="32" t="s">
        <v>818</v>
      </c>
      <c r="B31" t="s">
        <v>817</v>
      </c>
      <c r="C31" s="276">
        <f>SUM(D31:I31)</f>
        <v>85415.56</v>
      </c>
      <c r="D31" s="20">
        <f>'DOE25'!L290+'DOE25'!L309+'DOE25'!L328+'DOE25'!L333+'DOE25'!L334+'DOE25'!L335-F31-G31-H31</f>
        <v>84730.59</v>
      </c>
      <c r="E31" s="243"/>
      <c r="F31" s="244"/>
      <c r="G31" s="53">
        <f>'DOE25'!J290+'DOE25'!J309+'DOE25'!J328+'DOE25'!J333+'DOE25'!J334+'DOE25'!J335</f>
        <v>684.97</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6071798.370000001</v>
      </c>
      <c r="E33" s="245">
        <f t="shared" si="1"/>
        <v>420509.49</v>
      </c>
      <c r="F33" s="245">
        <f t="shared" si="1"/>
        <v>0</v>
      </c>
      <c r="G33" s="245">
        <f t="shared" si="1"/>
        <v>105508.47</v>
      </c>
      <c r="H33" s="245">
        <f t="shared" si="1"/>
        <v>32433.030000000002</v>
      </c>
      <c r="I33" s="245">
        <f t="shared" si="1"/>
        <v>97412.5</v>
      </c>
    </row>
    <row r="35" spans="1:9" ht="12" thickBot="1" x14ac:dyDescent="0.25">
      <c r="B35" s="251" t="s">
        <v>831</v>
      </c>
      <c r="D35" s="252">
        <f>E33</f>
        <v>420509.49</v>
      </c>
      <c r="E35" s="248"/>
    </row>
    <row r="36" spans="1:9" ht="12" thickTop="1" x14ac:dyDescent="0.2">
      <c r="B36" t="s">
        <v>810</v>
      </c>
      <c r="D36" s="20">
        <f>D33</f>
        <v>6071798.370000001</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Plainfield School District</v>
      </c>
      <c r="B2" s="126">
        <f>'DOE25'!B2</f>
        <v>441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5243783.1800000006</v>
      </c>
      <c r="G4" s="303">
        <f>'DOE25'!L211+'DOE25'!L290</f>
        <v>5243783.1800000006</v>
      </c>
      <c r="H4" s="304">
        <f>F4-G4</f>
        <v>0</v>
      </c>
      <c r="I4" s="310" t="str">
        <f>IF(H4=0,"","Does not match DOE25 page 7 and 11 Totals!!")</f>
        <v/>
      </c>
      <c r="N4"/>
    </row>
    <row r="5" spans="1:18" x14ac:dyDescent="0.2">
      <c r="A5" s="21" t="s">
        <v>1386</v>
      </c>
      <c r="B5" s="305">
        <f>IFERROR(VLOOKUP(A5,'School Tables'!$C$3:$D$368,2,FALSE),"")</f>
        <v>21375</v>
      </c>
      <c r="C5" s="297" t="str">
        <f>IFERROR(INDEX('School Tables'!$B$3:$B$368,MATCH('School Level Expenditures'!B5,'School Tables'!$D$3:$D$368,0)),"")</f>
        <v>Plainfield</v>
      </c>
      <c r="D5" s="294">
        <f>+'DOE25'!L211</f>
        <v>5158367.620000001</v>
      </c>
      <c r="E5" s="294">
        <f>+'DOE25'!L290</f>
        <v>85415.56</v>
      </c>
      <c r="F5" s="313">
        <f>D5+E5</f>
        <v>5243783.1800000006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1280130.5600000001</v>
      </c>
      <c r="G36" s="303">
        <f>'DOE25'!L247+'DOE25'!L328</f>
        <v>1280130.5600000001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f>+'DOE25'!L247</f>
        <v>1280130.5600000001</v>
      </c>
      <c r="E37" s="294"/>
      <c r="F37" s="308">
        <f>D37+E37</f>
        <v>1280130.5600000001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Plainfield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172042.53</v>
      </c>
      <c r="D8" s="95">
        <f>'DOE25'!G9</f>
        <v>0</v>
      </c>
      <c r="E8" s="95">
        <f>'DOE25'!H9</f>
        <v>0</v>
      </c>
      <c r="F8" s="95">
        <f>'DOE25'!I9</f>
        <v>0</v>
      </c>
      <c r="G8" s="95">
        <f>'DOE25'!J9</f>
        <v>417099.55</v>
      </c>
      <c r="H8" s="124"/>
      <c r="I8" s="124"/>
    </row>
    <row r="9" spans="1:9" x14ac:dyDescent="0.2">
      <c r="A9" s="1" t="s">
        <v>140</v>
      </c>
      <c r="B9" s="6">
        <v>110</v>
      </c>
      <c r="C9" s="95">
        <f>'DOE25'!F10</f>
        <v>42018.97</v>
      </c>
      <c r="D9" s="95">
        <f>'DOE25'!G10</f>
        <v>17341.560000000001</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15741.130000000001</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22784</v>
      </c>
      <c r="F12" s="95">
        <f>'DOE25'!I13</f>
        <v>0</v>
      </c>
      <c r="G12" s="95">
        <f>'DOE25'!J13</f>
        <v>0</v>
      </c>
      <c r="H12" s="124"/>
      <c r="I12" s="124"/>
    </row>
    <row r="13" spans="1:9" x14ac:dyDescent="0.2">
      <c r="A13" s="1" t="s">
        <v>144</v>
      </c>
      <c r="B13" s="6">
        <v>150</v>
      </c>
      <c r="C13" s="95">
        <f>'DOE25'!F14</f>
        <v>36752.94</v>
      </c>
      <c r="D13" s="95">
        <f>'DOE25'!G14</f>
        <v>1609.85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266555.57</v>
      </c>
      <c r="D18" s="41">
        <f>SUM(D8:D17)</f>
        <v>18951.41</v>
      </c>
      <c r="E18" s="41">
        <f>SUM(E8:E17)</f>
        <v>22784</v>
      </c>
      <c r="F18" s="41">
        <f>SUM(F8:F17)</f>
        <v>0</v>
      </c>
      <c r="G18" s="41">
        <f>SUM(G8:G17)</f>
        <v>417099.55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t="e">
        <f>'DOE25'!#REF!</f>
        <v>#REF!</v>
      </c>
      <c r="E21" s="95">
        <f>'DOE25'!H22</f>
        <v>8099</v>
      </c>
      <c r="F21" s="95">
        <f>'DOE25'!I22</f>
        <v>0</v>
      </c>
      <c r="G21" s="95">
        <f>'DOE25'!J22</f>
        <v>0</v>
      </c>
      <c r="H21" s="124"/>
      <c r="I21" s="124"/>
    </row>
    <row r="22" spans="1:9" x14ac:dyDescent="0.2">
      <c r="A22" s="1" t="s">
        <v>151</v>
      </c>
      <c r="B22" s="6">
        <v>410</v>
      </c>
      <c r="C22" s="95">
        <f>'DOE25'!F23</f>
        <v>0</v>
      </c>
      <c r="D22" s="95">
        <f>'DOE25'!G22</f>
        <v>7642</v>
      </c>
      <c r="E22" s="95">
        <f>'DOE25'!H23</f>
        <v>0</v>
      </c>
      <c r="F22" s="95">
        <f>'DOE25'!I23</f>
        <v>0</v>
      </c>
      <c r="G22" s="95">
        <f>'DOE25'!J23</f>
        <v>0</v>
      </c>
      <c r="H22" s="124"/>
      <c r="I22" s="124"/>
    </row>
    <row r="23" spans="1:9" x14ac:dyDescent="0.2">
      <c r="A23" s="1" t="s">
        <v>152</v>
      </c>
      <c r="B23" s="6">
        <v>420</v>
      </c>
      <c r="C23" s="95">
        <f>'DOE25'!F24</f>
        <v>86871.37</v>
      </c>
      <c r="D23" s="95">
        <f>'DOE25'!G24</f>
        <v>3350.51</v>
      </c>
      <c r="E23" s="95">
        <f>'DOE25'!H24</f>
        <v>2117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7034</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93905.37</v>
      </c>
      <c r="D31" s="41" t="e">
        <f>SUM(D21:D30)</f>
        <v>#REF!</v>
      </c>
      <c r="E31" s="41">
        <f>SUM(E21:E30)</f>
        <v>10216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7958.9</v>
      </c>
      <c r="E47" s="95">
        <f>'DOE25'!H48</f>
        <v>12568</v>
      </c>
      <c r="F47" s="95">
        <f>'DOE25'!I48</f>
        <v>0</v>
      </c>
      <c r="G47" s="95">
        <f>'DOE25'!J48</f>
        <v>417099.55</v>
      </c>
      <c r="H47" s="124"/>
      <c r="I47" s="124"/>
    </row>
    <row r="48" spans="1:9" x14ac:dyDescent="0.2">
      <c r="A48" s="1" t="s">
        <v>882</v>
      </c>
      <c r="B48" s="6">
        <v>753</v>
      </c>
      <c r="C48" s="95">
        <f>'DOE25'!F49</f>
        <v>15200</v>
      </c>
      <c r="D48" s="95">
        <f>'DOE25'!G49</f>
        <v>0</v>
      </c>
      <c r="E48" s="95">
        <f>'DOE25'!H49</f>
        <v>0</v>
      </c>
      <c r="F48" s="95">
        <f>'DOE25'!I49</f>
        <v>0</v>
      </c>
      <c r="G48" s="95">
        <f>'DOE25'!J49</f>
        <v>0</v>
      </c>
      <c r="H48" s="124"/>
      <c r="I48" s="124"/>
    </row>
    <row r="49" spans="1:9" ht="12" thickBot="1" x14ac:dyDescent="0.25">
      <c r="A49" s="29" t="s">
        <v>883</v>
      </c>
      <c r="B49" s="71">
        <v>770</v>
      </c>
      <c r="C49" s="95">
        <f>'DOE25'!F50</f>
        <v>157450.20000000001</v>
      </c>
      <c r="D49" s="24" t="s">
        <v>288</v>
      </c>
      <c r="E49" s="24" t="s">
        <v>288</v>
      </c>
      <c r="F49" s="24" t="s">
        <v>288</v>
      </c>
      <c r="G49" s="24" t="s">
        <v>288</v>
      </c>
      <c r="H49" s="124"/>
      <c r="I49" s="124"/>
    </row>
    <row r="50" spans="1:9" ht="12.75" thickTop="1" thickBot="1" x14ac:dyDescent="0.25">
      <c r="A50" s="38" t="s">
        <v>884</v>
      </c>
      <c r="B50" s="48"/>
      <c r="C50" s="41">
        <f>SUM(C34:C49)</f>
        <v>172650.2</v>
      </c>
      <c r="D50" s="41">
        <f>SUM(D34:D49)</f>
        <v>7958.9</v>
      </c>
      <c r="E50" s="41">
        <f>SUM(E34:E49)</f>
        <v>12568</v>
      </c>
      <c r="F50" s="41">
        <f>SUM(F34:F49)</f>
        <v>0</v>
      </c>
      <c r="G50" s="41">
        <f>SUM(G34:G49)</f>
        <v>417099.55</v>
      </c>
      <c r="H50" s="124"/>
      <c r="I50" s="124"/>
    </row>
    <row r="51" spans="1:9" ht="12" thickTop="1" x14ac:dyDescent="0.2">
      <c r="A51" s="38" t="s">
        <v>885</v>
      </c>
      <c r="B51" s="2"/>
      <c r="C51" s="41">
        <f>C50+C31</f>
        <v>266555.57</v>
      </c>
      <c r="D51" s="41" t="e">
        <f>D50+D31</f>
        <v>#REF!</v>
      </c>
      <c r="E51" s="41">
        <f>E50+E31</f>
        <v>22784</v>
      </c>
      <c r="F51" s="41">
        <f>F50+F31</f>
        <v>0</v>
      </c>
      <c r="G51" s="41">
        <f>G50+G31</f>
        <v>417099.55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5028286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3093.84</v>
      </c>
      <c r="D59" s="95">
        <f>'DOE25'!G96</f>
        <v>0</v>
      </c>
      <c r="E59" s="95">
        <f>'DOE25'!H96</f>
        <v>0</v>
      </c>
      <c r="F59" s="95">
        <f>'DOE25'!I96</f>
        <v>0</v>
      </c>
      <c r="G59" s="95">
        <f>'DOE25'!J96</f>
        <v>9003.99</v>
      </c>
      <c r="H59"/>
      <c r="I59"/>
    </row>
    <row r="60" spans="1:9" x14ac:dyDescent="0.2">
      <c r="A60" s="1" t="s">
        <v>170</v>
      </c>
      <c r="B60" s="118" t="s">
        <v>171</v>
      </c>
      <c r="C60" s="24" t="s">
        <v>288</v>
      </c>
      <c r="D60" s="95">
        <f>'DOE25'!G97</f>
        <v>33241.660000000003</v>
      </c>
      <c r="E60" s="24" t="s">
        <v>288</v>
      </c>
      <c r="F60" s="24" t="s">
        <v>288</v>
      </c>
      <c r="G60" s="24" t="s">
        <v>288</v>
      </c>
      <c r="H60"/>
      <c r="I60"/>
    </row>
    <row r="61" spans="1:9" ht="12" thickBot="1" x14ac:dyDescent="0.25">
      <c r="A61" s="1" t="s">
        <v>172</v>
      </c>
      <c r="B61" s="118" t="s">
        <v>173</v>
      </c>
      <c r="C61" s="95">
        <f>SUM('DOE25'!F98:F110)</f>
        <v>165728.93</v>
      </c>
      <c r="D61" s="95">
        <f>SUM('DOE25'!G98:G110)</f>
        <v>0</v>
      </c>
      <c r="E61" s="95">
        <f>SUM('DOE25'!H98:H110)</f>
        <v>9150</v>
      </c>
      <c r="F61" s="95">
        <f>SUM('DOE25'!I98:I110)</f>
        <v>0</v>
      </c>
      <c r="G61" s="95">
        <f>SUM('DOE25'!J98:J110)</f>
        <v>0</v>
      </c>
      <c r="H61"/>
      <c r="I61"/>
    </row>
    <row r="62" spans="1:9" ht="12.75" thickTop="1" thickBot="1" x14ac:dyDescent="0.25">
      <c r="A62" s="29" t="s">
        <v>174</v>
      </c>
      <c r="B62" s="6"/>
      <c r="C62" s="130">
        <f>SUM(C57:C61)</f>
        <v>168822.77</v>
      </c>
      <c r="D62" s="130">
        <f>SUM(D57:D61)</f>
        <v>33241.660000000003</v>
      </c>
      <c r="E62" s="130">
        <f>SUM(E57:E61)</f>
        <v>9150</v>
      </c>
      <c r="F62" s="130">
        <f>SUM(F57:F61)</f>
        <v>0</v>
      </c>
      <c r="G62" s="130">
        <f>SUM(G57:G61)</f>
        <v>9003.99</v>
      </c>
      <c r="H62"/>
      <c r="I62"/>
    </row>
    <row r="63" spans="1:9" ht="12" thickTop="1" x14ac:dyDescent="0.2">
      <c r="A63" s="29" t="s">
        <v>175</v>
      </c>
      <c r="B63" s="6"/>
      <c r="C63" s="22">
        <f>C56+C62</f>
        <v>5197108.7699999996</v>
      </c>
      <c r="D63" s="22">
        <f>D56+D62</f>
        <v>33241.660000000003</v>
      </c>
      <c r="E63" s="22">
        <f>E56+E62</f>
        <v>9150</v>
      </c>
      <c r="F63" s="22">
        <f>F56+F62</f>
        <v>0</v>
      </c>
      <c r="G63" s="22">
        <f>G56+G62</f>
        <v>9003.99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628086.77</v>
      </c>
      <c r="D66" s="24" t="s">
        <v>288</v>
      </c>
      <c r="E66" s="24" t="s">
        <v>288</v>
      </c>
      <c r="F66" s="24" t="s">
        <v>288</v>
      </c>
      <c r="G66" s="24" t="s">
        <v>288</v>
      </c>
      <c r="H66"/>
      <c r="I66"/>
    </row>
    <row r="67" spans="1:9" x14ac:dyDescent="0.2">
      <c r="A67" s="1" t="s">
        <v>770</v>
      </c>
      <c r="B67" s="6">
        <v>3112</v>
      </c>
      <c r="C67" s="95">
        <f>'DOE25'!F118</f>
        <v>593999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18114.830000000002</v>
      </c>
      <c r="D69" s="95">
        <f>'DOE25'!G120</f>
        <v>0</v>
      </c>
      <c r="E69" s="95">
        <f>'DOE25'!H120</f>
        <v>0</v>
      </c>
      <c r="F69" s="95">
        <f>'DOE25'!I120</f>
        <v>0</v>
      </c>
      <c r="G69" s="95">
        <f>'DOE25'!J120</f>
        <v>0</v>
      </c>
      <c r="H69"/>
      <c r="I69"/>
    </row>
    <row r="70" spans="1:9" ht="12" thickTop="1" x14ac:dyDescent="0.2">
      <c r="A70" s="29" t="s">
        <v>252</v>
      </c>
      <c r="B70" s="2"/>
      <c r="C70" s="139">
        <f>SUM(C66:C69)</f>
        <v>1240200.6000000001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9002.33</v>
      </c>
      <c r="D72" s="24" t="s">
        <v>288</v>
      </c>
      <c r="E72" s="24" t="s">
        <v>288</v>
      </c>
      <c r="F72" s="95">
        <f>'DOE25'!I123</f>
        <v>0</v>
      </c>
      <c r="G72" s="24" t="s">
        <v>288</v>
      </c>
      <c r="H72"/>
      <c r="I72"/>
    </row>
    <row r="73" spans="1:9" x14ac:dyDescent="0.2">
      <c r="A73" s="1" t="s">
        <v>254</v>
      </c>
      <c r="B73" s="6">
        <v>3215</v>
      </c>
      <c r="C73" s="95">
        <f>'DOE25'!F124</f>
        <v>26873</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176222.7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570.03</v>
      </c>
      <c r="E77" s="95">
        <f>SUM('DOE25'!H131:H135)</f>
        <v>0</v>
      </c>
      <c r="F77" s="95">
        <f>SUM('DOE25'!I131:I135)</f>
        <v>0</v>
      </c>
      <c r="G77" s="95">
        <f>SUM('DOE25'!J131:J135)</f>
        <v>0</v>
      </c>
      <c r="H77"/>
      <c r="I77"/>
    </row>
    <row r="78" spans="1:9" ht="12.75" thickTop="1" thickBot="1" x14ac:dyDescent="0.25">
      <c r="A78" s="29" t="s">
        <v>259</v>
      </c>
      <c r="B78" s="6"/>
      <c r="C78" s="130">
        <f>SUM(C72:C77)</f>
        <v>212098.03000000003</v>
      </c>
      <c r="D78" s="130">
        <f>SUM(D72:D77)</f>
        <v>570.03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1452298.6300000001</v>
      </c>
      <c r="D81" s="130">
        <f>SUM(D79:D80)+D78+D70</f>
        <v>570.03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45052.99</v>
      </c>
      <c r="D88" s="95">
        <f>SUM('DOE25'!G153:G161)</f>
        <v>8770.9500000000007</v>
      </c>
      <c r="E88" s="95">
        <f>SUM('DOE25'!H153:H161)</f>
        <v>86933.4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45052.99</v>
      </c>
      <c r="D91" s="131">
        <f>SUM(D85:D90)</f>
        <v>8770.9500000000007</v>
      </c>
      <c r="E91" s="131">
        <f>SUM(E85:E90)</f>
        <v>86933.4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11093.69</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11093.69</v>
      </c>
      <c r="E103" s="86">
        <f>SUM(E93:E102)</f>
        <v>0</v>
      </c>
      <c r="F103" s="86">
        <f>SUM(F93:F102)</f>
        <v>0</v>
      </c>
      <c r="G103" s="86">
        <f>SUM(G93:G102)</f>
        <v>50000</v>
      </c>
    </row>
    <row r="104" spans="1:7" ht="12.75" thickTop="1" thickBot="1" x14ac:dyDescent="0.25">
      <c r="A104" s="33" t="s">
        <v>761</v>
      </c>
      <c r="C104" s="86">
        <f>C63+C81+C91+C103</f>
        <v>6694460.3899999997</v>
      </c>
      <c r="D104" s="86">
        <f>D63+D81+D91+D103</f>
        <v>53676.33</v>
      </c>
      <c r="E104" s="86">
        <f>E63+E81+E91+E103</f>
        <v>96083.4</v>
      </c>
      <c r="F104" s="86">
        <f>F63+F81+F91+F103</f>
        <v>0</v>
      </c>
      <c r="G104" s="86">
        <f>G63+G81+G103</f>
        <v>59003.99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3328319.17</v>
      </c>
      <c r="D109" s="24" t="s">
        <v>288</v>
      </c>
      <c r="E109" s="95">
        <f>('DOE25'!L276)+('DOE25'!L295)+('DOE25'!L314)</f>
        <v>1890.74</v>
      </c>
      <c r="F109" s="24" t="s">
        <v>288</v>
      </c>
      <c r="G109" s="24" t="s">
        <v>288</v>
      </c>
    </row>
    <row r="110" spans="1:7" x14ac:dyDescent="0.2">
      <c r="A110" t="s">
        <v>198</v>
      </c>
      <c r="B110" s="32" t="s">
        <v>199</v>
      </c>
      <c r="C110" s="95">
        <f>('DOE25'!L198)+('DOE25'!L216)+('DOE25'!L234)</f>
        <v>1332586.9000000001</v>
      </c>
      <c r="D110" s="24" t="s">
        <v>288</v>
      </c>
      <c r="E110" s="95">
        <f>('DOE25'!L277)+('DOE25'!L296)+('DOE25'!L315)</f>
        <v>45875.68</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33838</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4694744.07</v>
      </c>
      <c r="D115" s="86">
        <f>SUM(D109:D114)</f>
        <v>0</v>
      </c>
      <c r="E115" s="86">
        <f>SUM(E109:E114)</f>
        <v>47766.42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294971.57</v>
      </c>
      <c r="D118" s="24" t="s">
        <v>288</v>
      </c>
      <c r="E118" s="95">
        <f>+('DOE25'!L281)+('DOE25'!L300)+('DOE25'!L319)</f>
        <v>0</v>
      </c>
      <c r="F118" s="24" t="s">
        <v>288</v>
      </c>
      <c r="G118" s="24" t="s">
        <v>288</v>
      </c>
    </row>
    <row r="119" spans="1:7" x14ac:dyDescent="0.2">
      <c r="A119" t="s">
        <v>208</v>
      </c>
      <c r="B119" s="32" t="s">
        <v>209</v>
      </c>
      <c r="C119" s="95">
        <f>('DOE25'!L203)+('DOE25'!L221)+('DOE25'!L239)</f>
        <v>147818.58000000002</v>
      </c>
      <c r="D119" s="24" t="s">
        <v>288</v>
      </c>
      <c r="E119" s="95">
        <f>+('DOE25'!L282)+('DOE25'!L301)+('DOE25'!L320)</f>
        <v>37649.14</v>
      </c>
      <c r="F119" s="24" t="s">
        <v>288</v>
      </c>
      <c r="G119" s="24" t="s">
        <v>288</v>
      </c>
    </row>
    <row r="120" spans="1:7" x14ac:dyDescent="0.2">
      <c r="A120" t="s">
        <v>210</v>
      </c>
      <c r="B120" s="32" t="s">
        <v>211</v>
      </c>
      <c r="C120" s="95">
        <f>('DOE25'!L204)+('DOE25'!L222)+('DOE25'!L240)</f>
        <v>434921.71</v>
      </c>
      <c r="D120" s="24" t="s">
        <v>288</v>
      </c>
      <c r="E120" s="95">
        <f>+('DOE25'!L283)+('DOE25'!L302)+('DOE25'!L321)</f>
        <v>0</v>
      </c>
      <c r="F120" s="24" t="s">
        <v>288</v>
      </c>
      <c r="G120" s="24" t="s">
        <v>288</v>
      </c>
    </row>
    <row r="121" spans="1:7" x14ac:dyDescent="0.2">
      <c r="A121" t="s">
        <v>212</v>
      </c>
      <c r="B121" s="32" t="s">
        <v>213</v>
      </c>
      <c r="C121" s="95">
        <f>('DOE25'!L205)+('DOE25'!L223)+('DOE25'!L241)</f>
        <v>313714.03000000003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300624.82</v>
      </c>
      <c r="D123" s="24" t="s">
        <v>288</v>
      </c>
      <c r="E123" s="95">
        <f>+('DOE25'!L286)+('DOE25'!L305)+('DOE25'!L324)</f>
        <v>0</v>
      </c>
      <c r="F123" s="24" t="s">
        <v>288</v>
      </c>
      <c r="G123" s="24" t="s">
        <v>288</v>
      </c>
    </row>
    <row r="124" spans="1:7" x14ac:dyDescent="0.2">
      <c r="A124" t="s">
        <v>218</v>
      </c>
      <c r="B124" s="32" t="s">
        <v>219</v>
      </c>
      <c r="C124" s="95">
        <f>('DOE25'!L208)+('DOE25'!L226)+('DOE25'!L244+'DOE25'!L254)</f>
        <v>251703.39999999997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53676.33</v>
      </c>
      <c r="E127" s="24" t="s">
        <v>288</v>
      </c>
      <c r="F127" s="24" t="s">
        <v>288</v>
      </c>
      <c r="G127" s="24" t="s">
        <v>288</v>
      </c>
    </row>
    <row r="128" spans="1:7" ht="12.75" thickTop="1" thickBot="1" x14ac:dyDescent="0.25">
      <c r="A128" s="33" t="s">
        <v>226</v>
      </c>
      <c r="C128" s="86">
        <f>SUM(C118:C127)</f>
        <v>1743754.11</v>
      </c>
      <c r="D128" s="86">
        <f>SUM(D118:D127)</f>
        <v>53676.33</v>
      </c>
      <c r="E128" s="86">
        <f>SUM(E118:E127)</f>
        <v>37649.14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52659.29</v>
      </c>
      <c r="D130" s="24" t="s">
        <v>288</v>
      </c>
      <c r="E130" s="129">
        <f>'DOE25'!L336</f>
        <v>0</v>
      </c>
      <c r="F130" s="129">
        <f>SUM('DOE25'!L374:'DOE25'!L380)</f>
        <v>0</v>
      </c>
      <c r="G130" s="24" t="s">
        <v>288</v>
      </c>
    </row>
    <row r="131" spans="1:7" x14ac:dyDescent="0.2">
      <c r="A131" t="s">
        <v>229</v>
      </c>
      <c r="B131" s="32">
        <v>5110</v>
      </c>
      <c r="C131" s="95">
        <f>'DOE25'!L260</f>
        <v>85000</v>
      </c>
      <c r="D131" s="24" t="s">
        <v>288</v>
      </c>
      <c r="E131" s="129">
        <f>'DOE25'!L341</f>
        <v>0</v>
      </c>
      <c r="F131" s="24" t="s">
        <v>288</v>
      </c>
      <c r="G131" s="24" t="s">
        <v>288</v>
      </c>
    </row>
    <row r="132" spans="1:7" x14ac:dyDescent="0.2">
      <c r="A132" t="s">
        <v>230</v>
      </c>
      <c r="B132" s="32">
        <v>5120</v>
      </c>
      <c r="C132" s="95">
        <f>'DOE25'!L261</f>
        <v>12412.5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11093.69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59003.99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-9003.989999999998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211165.48</v>
      </c>
      <c r="D144" s="141">
        <f>SUM(D130:D143)</f>
        <v>0</v>
      </c>
      <c r="E144" s="141">
        <f>SUM(E130:E143)</f>
        <v>0</v>
      </c>
      <c r="F144" s="141">
        <f>SUM(F130:F143)</f>
        <v>0</v>
      </c>
      <c r="G144" s="141">
        <f>SUM(G130:G143)</f>
        <v>0</v>
      </c>
    </row>
    <row r="145" spans="1:9" ht="12.75" thickTop="1" thickBot="1" x14ac:dyDescent="0.25">
      <c r="A145" s="33" t="s">
        <v>244</v>
      </c>
      <c r="C145" s="86">
        <f>(C115+C128+C144)</f>
        <v>6649663.6600000011</v>
      </c>
      <c r="D145" s="86">
        <f>(D115+D128+D144)</f>
        <v>53676.33</v>
      </c>
      <c r="E145" s="86">
        <f>(E115+E128+E144)</f>
        <v>85415.56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10</v>
      </c>
      <c r="D151" s="153">
        <f>'DOE25'!H490</f>
        <v>0</v>
      </c>
      <c r="E151" s="153">
        <f>'DOE25'!I490</f>
        <v>0</v>
      </c>
      <c r="F151" s="153">
        <f>'DOE25'!J490</f>
        <v>0</v>
      </c>
      <c r="G151" s="24" t="s">
        <v>288</v>
      </c>
    </row>
    <row r="152" spans="1:9" x14ac:dyDescent="0.2">
      <c r="A152" s="136" t="s">
        <v>28</v>
      </c>
      <c r="B152" s="152" t="str">
        <f>'DOE25'!F491</f>
        <v>12/10</v>
      </c>
      <c r="C152" s="152" t="str">
        <f>'DOE25'!G491</f>
        <v>07/12</v>
      </c>
      <c r="D152" s="152">
        <f>'DOE25'!H491</f>
        <v>0</v>
      </c>
      <c r="E152" s="152">
        <f>'DOE25'!I491</f>
        <v>0</v>
      </c>
      <c r="F152" s="152">
        <f>'DOE25'!J491</f>
        <v>0</v>
      </c>
      <c r="G152" s="24" t="s">
        <v>288</v>
      </c>
    </row>
    <row r="153" spans="1:9" x14ac:dyDescent="0.2">
      <c r="A153" s="136" t="s">
        <v>29</v>
      </c>
      <c r="B153" s="152" t="str">
        <f>'DOE25'!F492</f>
        <v>01/21</v>
      </c>
      <c r="C153" s="152" t="str">
        <f>'DOE25'!G492</f>
        <v>08/22</v>
      </c>
      <c r="D153" s="152">
        <f>'DOE25'!H492</f>
        <v>0</v>
      </c>
      <c r="E153" s="152">
        <f>'DOE25'!I492</f>
        <v>0</v>
      </c>
      <c r="F153" s="152">
        <f>'DOE25'!J492</f>
        <v>0</v>
      </c>
      <c r="G153" s="24" t="s">
        <v>288</v>
      </c>
    </row>
    <row r="154" spans="1:9" x14ac:dyDescent="0.2">
      <c r="A154" s="136" t="s">
        <v>30</v>
      </c>
      <c r="B154" s="137">
        <f>'DOE25'!F493</f>
        <v>314800</v>
      </c>
      <c r="C154" s="137">
        <f>'DOE25'!G493</f>
        <v>543500</v>
      </c>
      <c r="D154" s="137">
        <f>'DOE25'!H493</f>
        <v>0</v>
      </c>
      <c r="E154" s="137">
        <f>'DOE25'!I493</f>
        <v>0</v>
      </c>
      <c r="F154" s="137">
        <f>'DOE25'!J493</f>
        <v>0</v>
      </c>
      <c r="G154" s="24" t="s">
        <v>288</v>
      </c>
    </row>
    <row r="155" spans="1:9" x14ac:dyDescent="0.2">
      <c r="A155" s="136" t="s">
        <v>31</v>
      </c>
      <c r="B155" s="137">
        <f>'DOE25'!F494</f>
        <v>3</v>
      </c>
      <c r="C155" s="137">
        <f>'DOE25'!G494</f>
        <v>2.33</v>
      </c>
      <c r="D155" s="137">
        <f>'DOE25'!H494</f>
        <v>0</v>
      </c>
      <c r="E155" s="137">
        <f>'DOE25'!I494</f>
        <v>0</v>
      </c>
      <c r="F155" s="137">
        <f>'DOE25'!J494</f>
        <v>0</v>
      </c>
      <c r="G155" s="24" t="s">
        <v>288</v>
      </c>
    </row>
    <row r="156" spans="1:9" x14ac:dyDescent="0.2">
      <c r="A156" s="22" t="s">
        <v>32</v>
      </c>
      <c r="B156" s="137">
        <f>'DOE25'!F495</f>
        <v>60000</v>
      </c>
      <c r="C156" s="137">
        <f>'DOE25'!G495</f>
        <v>210000</v>
      </c>
      <c r="D156" s="137">
        <f>'DOE25'!H495</f>
        <v>0</v>
      </c>
      <c r="E156" s="137">
        <f>'DOE25'!I495</f>
        <v>0</v>
      </c>
      <c r="F156" s="137">
        <f>'DOE25'!J495</f>
        <v>0</v>
      </c>
      <c r="G156" s="138">
        <f>SUM(B156:F156)</f>
        <v>270000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30000</v>
      </c>
      <c r="C158" s="137">
        <f>'DOE25'!G497</f>
        <v>55000</v>
      </c>
      <c r="D158" s="137">
        <f>'DOE25'!H497</f>
        <v>0</v>
      </c>
      <c r="E158" s="137">
        <f>'DOE25'!I497</f>
        <v>0</v>
      </c>
      <c r="F158" s="137">
        <f>'DOE25'!J497</f>
        <v>0</v>
      </c>
      <c r="G158" s="138">
        <f t="shared" si="0"/>
        <v>85000</v>
      </c>
    </row>
    <row r="159" spans="1:9" x14ac:dyDescent="0.2">
      <c r="A159" s="22" t="s">
        <v>35</v>
      </c>
      <c r="B159" s="137">
        <f>'DOE25'!F498</f>
        <v>30000</v>
      </c>
      <c r="C159" s="137">
        <f>'DOE25'!G498</f>
        <v>155000</v>
      </c>
      <c r="D159" s="137">
        <f>'DOE25'!H498</f>
        <v>0</v>
      </c>
      <c r="E159" s="137">
        <f>'DOE25'!I498</f>
        <v>0</v>
      </c>
      <c r="F159" s="137">
        <f>'DOE25'!J498</f>
        <v>0</v>
      </c>
      <c r="G159" s="138">
        <f t="shared" si="0"/>
        <v>185000</v>
      </c>
    </row>
    <row r="160" spans="1:9" x14ac:dyDescent="0.2">
      <c r="A160" s="22" t="s">
        <v>36</v>
      </c>
      <c r="B160" s="137">
        <f>'DOE25'!F499</f>
        <v>2400</v>
      </c>
      <c r="C160" s="137">
        <f>'DOE25'!G499</f>
        <v>16056.25</v>
      </c>
      <c r="D160" s="137">
        <f>'DOE25'!H499</f>
        <v>0</v>
      </c>
      <c r="E160" s="137">
        <f>'DOE25'!I499</f>
        <v>0</v>
      </c>
      <c r="F160" s="137">
        <f>'DOE25'!J499</f>
        <v>0</v>
      </c>
      <c r="G160" s="138">
        <f t="shared" si="0"/>
        <v>18456.25</v>
      </c>
    </row>
    <row r="161" spans="1:7" x14ac:dyDescent="0.2">
      <c r="A161" s="22" t="s">
        <v>37</v>
      </c>
      <c r="B161" s="137">
        <f>'DOE25'!F500</f>
        <v>32400</v>
      </c>
      <c r="C161" s="137">
        <f>'DOE25'!G500</f>
        <v>171056.25</v>
      </c>
      <c r="D161" s="137">
        <f>'DOE25'!H500</f>
        <v>0</v>
      </c>
      <c r="E161" s="137">
        <f>'DOE25'!I500</f>
        <v>0</v>
      </c>
      <c r="F161" s="137">
        <f>'DOE25'!J500</f>
        <v>0</v>
      </c>
      <c r="G161" s="138">
        <f t="shared" si="0"/>
        <v>203456.25</v>
      </c>
    </row>
    <row r="162" spans="1:7" x14ac:dyDescent="0.2">
      <c r="A162" s="22" t="s">
        <v>38</v>
      </c>
      <c r="B162" s="137">
        <f>'DOE25'!F501</f>
        <v>30000</v>
      </c>
      <c r="C162" s="137">
        <f>'DOE25'!G501</f>
        <v>55000</v>
      </c>
      <c r="D162" s="137">
        <f>'DOE25'!H501</f>
        <v>0</v>
      </c>
      <c r="E162" s="137">
        <f>'DOE25'!I501</f>
        <v>0</v>
      </c>
      <c r="F162" s="137">
        <f>'DOE25'!J501</f>
        <v>0</v>
      </c>
      <c r="G162" s="138">
        <f t="shared" si="0"/>
        <v>85000</v>
      </c>
    </row>
    <row r="163" spans="1:7" x14ac:dyDescent="0.2">
      <c r="A163" s="22" t="s">
        <v>39</v>
      </c>
      <c r="B163" s="137">
        <f>'DOE25'!F502</f>
        <v>2400</v>
      </c>
      <c r="C163" s="137">
        <f>'DOE25'!G502</f>
        <v>6956.25</v>
      </c>
      <c r="D163" s="137">
        <f>'DOE25'!H502</f>
        <v>0</v>
      </c>
      <c r="E163" s="137">
        <f>'DOE25'!I502</f>
        <v>0</v>
      </c>
      <c r="F163" s="137">
        <f>'DOE25'!J502</f>
        <v>0</v>
      </c>
      <c r="G163" s="138">
        <f t="shared" si="0"/>
        <v>9356.25</v>
      </c>
    </row>
    <row r="164" spans="1:7" x14ac:dyDescent="0.2">
      <c r="A164" s="22" t="s">
        <v>246</v>
      </c>
      <c r="B164" s="137">
        <f>'DOE25'!F503</f>
        <v>32400</v>
      </c>
      <c r="C164" s="137">
        <f>'DOE25'!G503</f>
        <v>61956.25</v>
      </c>
      <c r="D164" s="137">
        <f>'DOE25'!H503</f>
        <v>0</v>
      </c>
      <c r="E164" s="137">
        <f>'DOE25'!I503</f>
        <v>0</v>
      </c>
      <c r="F164" s="137">
        <f>'DOE25'!J503</f>
        <v>0</v>
      </c>
      <c r="G164" s="138">
        <f t="shared" si="0"/>
        <v>94356.25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Plainfield School District</v>
      </c>
    </row>
    <row r="3" spans="1:4" x14ac:dyDescent="0.2">
      <c r="B3" s="188" t="s">
        <v>1602</v>
      </c>
    </row>
    <row r="4" spans="1:4" x14ac:dyDescent="0.2">
      <c r="B4" t="s">
        <v>61</v>
      </c>
      <c r="C4" s="179">
        <f>IF('DOE25'!F665+'DOE25'!F670=0,0,ROUND('DOE25'!F672,0))</f>
        <v>21714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21714</v>
      </c>
    </row>
    <row r="9" spans="1:4" x14ac:dyDescent="0.2">
      <c r="A9" s="187" t="s">
        <v>94</v>
      </c>
      <c r="B9" s="188" t="s">
        <v>1603</v>
      </c>
      <c r="C9" s="181" t="s">
        <v>720</v>
      </c>
      <c r="D9" s="181" t="s">
        <v>721</v>
      </c>
    </row>
    <row r="10" spans="1:4" x14ac:dyDescent="0.2">
      <c r="A10">
        <v>1100</v>
      </c>
      <c r="B10" t="s">
        <v>702</v>
      </c>
      <c r="C10" s="179">
        <f>ROUND('DOE25'!L197+'DOE25'!L215+'DOE25'!L233+'DOE25'!L276+'DOE25'!L295+'DOE25'!L314,0)</f>
        <v>3330210</v>
      </c>
      <c r="D10" s="182">
        <f>ROUND((C10/$C$28)*100,1)</f>
        <v>50.8</v>
      </c>
    </row>
    <row r="11" spans="1:4" x14ac:dyDescent="0.2">
      <c r="A11">
        <v>1200</v>
      </c>
      <c r="B11" t="s">
        <v>703</v>
      </c>
      <c r="C11" s="179">
        <f>ROUND('DOE25'!L198+'DOE25'!L216+'DOE25'!L234+'DOE25'!L277+'DOE25'!L296+'DOE25'!L315,0)</f>
        <v>1378463</v>
      </c>
      <c r="D11" s="182">
        <f>ROUND((C11/$C$28)*100,1)</f>
        <v>21</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33838</v>
      </c>
      <c r="D13" s="182">
        <f>ROUND((C13/$C$28)*100,1)</f>
        <v>0.5</v>
      </c>
    </row>
    <row r="14" spans="1:4" x14ac:dyDescent="0.2">
      <c r="D14" s="182"/>
    </row>
    <row r="15" spans="1:4" x14ac:dyDescent="0.2">
      <c r="A15">
        <v>2100</v>
      </c>
      <c r="B15" t="s">
        <v>706</v>
      </c>
      <c r="C15" s="179">
        <f>ROUND('DOE25'!L202+'DOE25'!L220+'DOE25'!L238+'DOE25'!L281+'DOE25'!L300+'DOE25'!L319,0)</f>
        <v>294972</v>
      </c>
      <c r="D15" s="182">
        <f t="shared" ref="D15:D27" si="0">ROUND((C15/$C$28)*100,1)</f>
        <v>4.5</v>
      </c>
    </row>
    <row r="16" spans="1:4" x14ac:dyDescent="0.2">
      <c r="A16">
        <v>2200</v>
      </c>
      <c r="B16" t="s">
        <v>707</v>
      </c>
      <c r="C16" s="179">
        <f>ROUND('DOE25'!L203+'DOE25'!L221+'DOE25'!L239+'DOE25'!L282+'DOE25'!L301+'DOE25'!L320,0)</f>
        <v>185468</v>
      </c>
      <c r="D16" s="182">
        <f t="shared" si="0"/>
        <v>2.8</v>
      </c>
    </row>
    <row r="17" spans="1:4" x14ac:dyDescent="0.2">
      <c r="A17" s="183" t="s">
        <v>723</v>
      </c>
      <c r="B17" t="s">
        <v>738</v>
      </c>
      <c r="C17" s="179">
        <f>ROUND('DOE25'!L204+'DOE25'!L209+'DOE25'!L222+'DOE25'!L227+'DOE25'!L240+'DOE25'!L245+'DOE25'!L283+'DOE25'!L288+'DOE25'!L302+'DOE25'!L307+'DOE25'!L321+'DOE25'!L326,0)</f>
        <v>434922</v>
      </c>
      <c r="D17" s="182">
        <f t="shared" si="0"/>
        <v>6.6</v>
      </c>
    </row>
    <row r="18" spans="1:4" x14ac:dyDescent="0.2">
      <c r="A18">
        <v>2400</v>
      </c>
      <c r="B18" t="s">
        <v>711</v>
      </c>
      <c r="C18" s="179">
        <f>ROUND('DOE25'!L205+'DOE25'!L223+'DOE25'!L241+'DOE25'!L284+'DOE25'!L303+'DOE25'!L322,0)</f>
        <v>313714</v>
      </c>
      <c r="D18" s="182">
        <f t="shared" si="0"/>
        <v>4.8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300625</v>
      </c>
      <c r="D20" s="182">
        <f t="shared" si="0"/>
        <v>4.5999999999999996</v>
      </c>
    </row>
    <row r="21" spans="1:4" x14ac:dyDescent="0.2">
      <c r="A21">
        <v>2700</v>
      </c>
      <c r="B21" t="s">
        <v>710</v>
      </c>
      <c r="C21" s="179">
        <f>ROUND('DOE25'!L208+'DOE25'!L226+'DOE25'!L244+'DOE25'!L287+'DOE25'!L306+'DOE25'!L325,0)</f>
        <v>251703</v>
      </c>
      <c r="D21" s="182">
        <f t="shared" si="0"/>
        <v>3.8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12413</v>
      </c>
      <c r="D25" s="182">
        <f t="shared" si="0"/>
        <v>0.2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20434.339999999997</v>
      </c>
      <c r="D27" s="182">
        <f t="shared" si="0"/>
        <v>0.3</v>
      </c>
    </row>
    <row r="28" spans="1:4" x14ac:dyDescent="0.2">
      <c r="B28" s="187" t="s">
        <v>719</v>
      </c>
      <c r="C28" s="180">
        <f>SUM(C10:C27)</f>
        <v>6556762.3399999999</v>
      </c>
      <c r="D28" s="184">
        <f>ROUND(SUM(D10:D27),0)</f>
        <v>100</v>
      </c>
    </row>
    <row r="29" spans="1:4" x14ac:dyDescent="0.2">
      <c r="A29">
        <v>4000</v>
      </c>
      <c r="B29" t="s">
        <v>724</v>
      </c>
      <c r="C29" s="179">
        <f>ROUND('DOE25'!L255+'DOE25'!L336+'DOE25'!L374+'DOE25'!L375+'DOE25'!L376+'DOE25'!L377+'DOE25'!L378+'DOE25'!L379+'DOE25'!L380,0)</f>
        <v>52659</v>
      </c>
    </row>
    <row r="30" spans="1:4" x14ac:dyDescent="0.2">
      <c r="B30" s="187" t="s">
        <v>725</v>
      </c>
      <c r="C30" s="180">
        <f>SUM(C28:C29)</f>
        <v>6609421.3399999999</v>
      </c>
    </row>
    <row r="31" spans="1:4" x14ac:dyDescent="0.2">
      <c r="B31" s="33"/>
      <c r="C31" s="180"/>
    </row>
    <row r="32" spans="1:4" x14ac:dyDescent="0.2">
      <c r="A32">
        <v>5100</v>
      </c>
      <c r="B32" s="33" t="s">
        <v>726</v>
      </c>
      <c r="C32" s="180">
        <f>ROUND('DOE25'!L260+'DOE25'!L341,0)</f>
        <v>85000</v>
      </c>
    </row>
    <row r="34" spans="1:4" x14ac:dyDescent="0.2">
      <c r="A34" s="187" t="s">
        <v>94</v>
      </c>
      <c r="B34" s="188" t="s">
        <v>1604</v>
      </c>
      <c r="C34" s="181" t="s">
        <v>720</v>
      </c>
      <c r="D34" s="181" t="s">
        <v>721</v>
      </c>
    </row>
    <row r="35" spans="1:4" x14ac:dyDescent="0.2">
      <c r="A35">
        <v>1100</v>
      </c>
      <c r="B35" s="185" t="s">
        <v>727</v>
      </c>
      <c r="C35" s="179">
        <f>ROUND('DOE25'!F60+'DOE25'!G60+'DOE25'!H60+'DOE25'!I60+'DOE25'!J60,0)</f>
        <v>5028286</v>
      </c>
      <c r="D35" s="182">
        <f t="shared" ref="D35:D40" si="1">ROUND((C35/$C$41)*100,1)</f>
        <v>73.8</v>
      </c>
    </row>
    <row r="36" spans="1:4" x14ac:dyDescent="0.2">
      <c r="B36" s="185" t="s">
        <v>739</v>
      </c>
      <c r="C36" s="179">
        <f>SUM('DOE25'!F112:J112)-SUM('DOE25'!G97:G110)+('DOE25'!F174+'DOE25'!F175+'DOE25'!I174+'DOE25'!I175)-C35</f>
        <v>186976.75999999978</v>
      </c>
      <c r="D36" s="182">
        <f t="shared" si="1"/>
        <v>2.7</v>
      </c>
    </row>
    <row r="37" spans="1:4" x14ac:dyDescent="0.2">
      <c r="A37" s="183" t="s">
        <v>835</v>
      </c>
      <c r="B37" s="185" t="s">
        <v>728</v>
      </c>
      <c r="C37" s="179">
        <f>ROUND('DOE25'!F117+'DOE25'!F118,0)</f>
        <v>1222086</v>
      </c>
      <c r="D37" s="182">
        <f t="shared" si="1"/>
        <v>17.899999999999999</v>
      </c>
    </row>
    <row r="38" spans="1:4" x14ac:dyDescent="0.2">
      <c r="A38" s="183" t="s">
        <v>734</v>
      </c>
      <c r="B38" s="185" t="s">
        <v>729</v>
      </c>
      <c r="C38" s="179">
        <f>ROUND(SUM('DOE25'!F140:J140)-SUM('DOE25'!F117:F119),0)</f>
        <v>230783</v>
      </c>
      <c r="D38" s="182">
        <f t="shared" si="1"/>
        <v>3.4</v>
      </c>
    </row>
    <row r="39" spans="1:4" x14ac:dyDescent="0.2">
      <c r="A39">
        <v>4000</v>
      </c>
      <c r="B39" s="185" t="s">
        <v>730</v>
      </c>
      <c r="C39" s="179">
        <f>ROUND('DOE25'!F169+'DOE25'!G169+'DOE25'!H169+'DOE25'!I169,0)</f>
        <v>140757</v>
      </c>
      <c r="D39" s="182">
        <f t="shared" si="1"/>
        <v>2.1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6808888.7599999998</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Plainfield School District</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t="s">
        <v>1616</v>
      </c>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2019-10-31T17:01:34Z</cp:lastPrinted>
  <dcterms:created xsi:type="dcterms:W3CDTF">1997-12-04T19:04:30Z</dcterms:created>
  <dcterms:modified xsi:type="dcterms:W3CDTF">2019-11-22T14:29:00Z</dcterms:modified>
</cp:coreProperties>
</file>