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Notes'!$A$1:$M$70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319" i="1" l="1"/>
  <c r="G300" i="1"/>
  <c r="G281" i="1"/>
  <c r="F319" i="1"/>
  <c r="F300" i="1"/>
  <c r="F281" i="1"/>
  <c r="I319" i="1"/>
  <c r="I300" i="1"/>
  <c r="H295" i="1"/>
  <c r="H319" i="1"/>
  <c r="F15" i="13" l="1"/>
  <c r="F181" i="1"/>
  <c r="I528" i="1"/>
  <c r="G528" i="1"/>
  <c r="F528" i="1"/>
  <c r="I527" i="1"/>
  <c r="G527" i="1"/>
  <c r="F527" i="1"/>
  <c r="I526" i="1"/>
  <c r="G526" i="1"/>
  <c r="F526" i="1"/>
  <c r="H523" i="1"/>
  <c r="G523" i="1"/>
  <c r="F523" i="1"/>
  <c r="I522" i="1"/>
  <c r="H522" i="1"/>
  <c r="G522" i="1"/>
  <c r="F522" i="1"/>
  <c r="I521" i="1"/>
  <c r="H521" i="1"/>
  <c r="G521" i="1"/>
  <c r="F521" i="1"/>
  <c r="C19" i="12" l="1"/>
  <c r="C21" i="12"/>
  <c r="C10" i="12"/>
  <c r="B39" i="12"/>
  <c r="B38" i="12"/>
  <c r="B37" i="12"/>
  <c r="B21" i="12"/>
  <c r="B19" i="12"/>
  <c r="B11" i="12"/>
  <c r="B12" i="12"/>
  <c r="B10" i="12"/>
  <c r="I604" i="1" l="1"/>
  <c r="H233" i="1"/>
  <c r="H215" i="1"/>
  <c r="H197" i="1"/>
  <c r="F472" i="1"/>
  <c r="I220" i="1"/>
  <c r="I233" i="1"/>
  <c r="H244" i="1" l="1"/>
  <c r="J243" i="1"/>
  <c r="F206" i="1"/>
  <c r="K204" i="1"/>
  <c r="K222" i="1"/>
  <c r="K240" i="1"/>
  <c r="F98" i="1" l="1"/>
  <c r="F29" i="1"/>
  <c r="F24" i="1"/>
  <c r="F9" i="1"/>
  <c r="I320" i="1"/>
  <c r="H320" i="1"/>
  <c r="G320" i="1"/>
  <c r="F320" i="1"/>
  <c r="I301" i="1"/>
  <c r="H301" i="1"/>
  <c r="G301" i="1"/>
  <c r="F301" i="1"/>
  <c r="I282" i="1"/>
  <c r="H282" i="1"/>
  <c r="G282" i="1"/>
  <c r="F282" i="1"/>
  <c r="H298" i="1"/>
  <c r="G298" i="1"/>
  <c r="F298" i="1"/>
  <c r="G279" i="1"/>
  <c r="F279" i="1"/>
  <c r="H314" i="1"/>
  <c r="H276" i="1"/>
  <c r="K344" i="1"/>
  <c r="J305" i="1"/>
  <c r="G315" i="1"/>
  <c r="F315" i="1"/>
  <c r="H277" i="1"/>
  <c r="G277" i="1"/>
  <c r="F277" i="1"/>
  <c r="I295" i="1"/>
  <c r="G295" i="1"/>
  <c r="F295" i="1"/>
  <c r="I276" i="1"/>
  <c r="G276" i="1"/>
  <c r="F276" i="1"/>
  <c r="H135" i="1" l="1"/>
  <c r="H155" i="1"/>
  <c r="H159" i="1"/>
  <c r="H154" i="1" l="1"/>
  <c r="J426" i="1" l="1"/>
  <c r="H400" i="1"/>
  <c r="F440" i="1"/>
  <c r="J472" i="1"/>
  <c r="J468" i="1"/>
  <c r="K360" i="1" l="1"/>
  <c r="H368" i="1" l="1"/>
  <c r="G368" i="1"/>
  <c r="F368" i="1"/>
  <c r="G360" i="1"/>
  <c r="F360" i="1"/>
  <c r="G502" i="1" l="1"/>
  <c r="G499" i="1"/>
  <c r="F502" i="1"/>
  <c r="F501" i="1"/>
  <c r="F499" i="1"/>
  <c r="F498" i="1"/>
  <c r="F49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C112" i="2" s="1"/>
  <c r="L233" i="1"/>
  <c r="L234" i="1"/>
  <c r="L235" i="1"/>
  <c r="L236" i="1"/>
  <c r="G6" i="13"/>
  <c r="H6" i="13"/>
  <c r="L202" i="1"/>
  <c r="L220" i="1"/>
  <c r="L238" i="1"/>
  <c r="G7" i="13"/>
  <c r="H7" i="13"/>
  <c r="L203" i="1"/>
  <c r="L221" i="1"/>
  <c r="L239" i="1"/>
  <c r="C119" i="2" s="1"/>
  <c r="G12" i="13"/>
  <c r="H12" i="13"/>
  <c r="L205" i="1"/>
  <c r="L223" i="1"/>
  <c r="L241" i="1"/>
  <c r="G14" i="13"/>
  <c r="H14" i="13"/>
  <c r="L207" i="1"/>
  <c r="L225" i="1"/>
  <c r="L243" i="1"/>
  <c r="G15" i="13"/>
  <c r="H15" i="13"/>
  <c r="L208" i="1"/>
  <c r="L226" i="1"/>
  <c r="G662" i="1" s="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E120" i="2" s="1"/>
  <c r="L284" i="1"/>
  <c r="L285" i="1"/>
  <c r="L286" i="1"/>
  <c r="L287" i="1"/>
  <c r="L288" i="1"/>
  <c r="L295" i="1"/>
  <c r="L296" i="1"/>
  <c r="L297" i="1"/>
  <c r="L298" i="1"/>
  <c r="E112" i="2" s="1"/>
  <c r="L300" i="1"/>
  <c r="L301" i="1"/>
  <c r="L302" i="1"/>
  <c r="L303" i="1"/>
  <c r="L304" i="1"/>
  <c r="L305" i="1"/>
  <c r="L306" i="1"/>
  <c r="L307" i="1"/>
  <c r="L314" i="1"/>
  <c r="L315" i="1"/>
  <c r="L316" i="1"/>
  <c r="L317" i="1"/>
  <c r="L319" i="1"/>
  <c r="L320" i="1"/>
  <c r="E119" i="2" s="1"/>
  <c r="L321" i="1"/>
  <c r="L322" i="1"/>
  <c r="L323" i="1"/>
  <c r="L324" i="1"/>
  <c r="L325" i="1"/>
  <c r="L326" i="1"/>
  <c r="L333" i="1"/>
  <c r="L334" i="1"/>
  <c r="L335" i="1"/>
  <c r="L260" i="1"/>
  <c r="C131" i="2" s="1"/>
  <c r="L261" i="1"/>
  <c r="C132" i="2" s="1"/>
  <c r="L341" i="1"/>
  <c r="L342" i="1"/>
  <c r="L255" i="1"/>
  <c r="L336" i="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3" i="1" s="1"/>
  <c r="C138" i="2" s="1"/>
  <c r="L395" i="1"/>
  <c r="L396" i="1"/>
  <c r="L397" i="1"/>
  <c r="L398" i="1"/>
  <c r="L399" i="1"/>
  <c r="L400" i="1"/>
  <c r="L401" i="1" s="1"/>
  <c r="C139" i="2" s="1"/>
  <c r="L403" i="1"/>
  <c r="L404" i="1"/>
  <c r="L405" i="1"/>
  <c r="L406" i="1"/>
  <c r="L266" i="1"/>
  <c r="J60" i="1"/>
  <c r="G56" i="2" s="1"/>
  <c r="G59" i="2"/>
  <c r="G61" i="2"/>
  <c r="F2" i="11"/>
  <c r="L613" i="1"/>
  <c r="H663" i="1" s="1"/>
  <c r="L612" i="1"/>
  <c r="G663" i="1" s="1"/>
  <c r="L611" i="1"/>
  <c r="F663" i="1" s="1"/>
  <c r="C40" i="10"/>
  <c r="F60" i="1"/>
  <c r="C56" i="2" s="1"/>
  <c r="G60" i="1"/>
  <c r="H60" i="1"/>
  <c r="I60" i="1"/>
  <c r="F79" i="1"/>
  <c r="F112" i="1" s="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L250" i="1"/>
  <c r="L332" i="1"/>
  <c r="L254" i="1"/>
  <c r="L268" i="1"/>
  <c r="C142" i="2" s="1"/>
  <c r="L269" i="1"/>
  <c r="L349" i="1"/>
  <c r="L350" i="1"/>
  <c r="I665" i="1"/>
  <c r="I670"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J552"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E57" i="2"/>
  <c r="C58" i="2"/>
  <c r="E58" i="2"/>
  <c r="C59" i="2"/>
  <c r="D59" i="2"/>
  <c r="E59" i="2"/>
  <c r="F59" i="2"/>
  <c r="D60" i="2"/>
  <c r="C61" i="2"/>
  <c r="D61" i="2"/>
  <c r="E61" i="2"/>
  <c r="E62" i="2" s="1"/>
  <c r="E63" i="2" s="1"/>
  <c r="F61" i="2"/>
  <c r="C66" i="2"/>
  <c r="C70" i="2" s="1"/>
  <c r="C67" i="2"/>
  <c r="C69" i="2"/>
  <c r="D69" i="2"/>
  <c r="D70" i="2" s="1"/>
  <c r="E69" i="2"/>
  <c r="E70" i="2" s="1"/>
  <c r="F69" i="2"/>
  <c r="F70" i="2" s="1"/>
  <c r="G69" i="2"/>
  <c r="G70" i="2" s="1"/>
  <c r="C72" i="2"/>
  <c r="F72" i="2"/>
  <c r="F78" i="2" s="1"/>
  <c r="F81" i="2" s="1"/>
  <c r="C73" i="2"/>
  <c r="F73" i="2"/>
  <c r="C74" i="2"/>
  <c r="C75" i="2"/>
  <c r="C76" i="2"/>
  <c r="E76" i="2"/>
  <c r="F76" i="2"/>
  <c r="C77" i="2"/>
  <c r="C78" i="2" s="1"/>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3" i="2"/>
  <c r="E113" i="2"/>
  <c r="E114" i="2"/>
  <c r="D115" i="2"/>
  <c r="F115" i="2"/>
  <c r="G115" i="2"/>
  <c r="E121" i="2"/>
  <c r="E123" i="2"/>
  <c r="E124" i="2"/>
  <c r="E125" i="2"/>
  <c r="F128" i="2"/>
  <c r="G128" i="2"/>
  <c r="C130" i="2"/>
  <c r="E130" i="2"/>
  <c r="F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362" i="1"/>
  <c r="K362" i="1"/>
  <c r="I368" i="1"/>
  <c r="I369" i="1" s="1"/>
  <c r="H634" i="1" s="1"/>
  <c r="F369" i="1"/>
  <c r="G369" i="1"/>
  <c r="H369" i="1"/>
  <c r="L381" i="1"/>
  <c r="L382" i="1" s="1"/>
  <c r="G636" i="1" s="1"/>
  <c r="F382" i="1"/>
  <c r="G382" i="1"/>
  <c r="H382" i="1"/>
  <c r="I382" i="1"/>
  <c r="J382" i="1"/>
  <c r="K382" i="1"/>
  <c r="F393" i="1"/>
  <c r="G393" i="1"/>
  <c r="H393" i="1"/>
  <c r="I393" i="1"/>
  <c r="F401" i="1"/>
  <c r="F408" i="1" s="1"/>
  <c r="H643" i="1" s="1"/>
  <c r="J643" i="1" s="1"/>
  <c r="G401" i="1"/>
  <c r="G408" i="1" s="1"/>
  <c r="H645" i="1" s="1"/>
  <c r="H401" i="1"/>
  <c r="I401" i="1"/>
  <c r="I408" i="1" s="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G641" i="1" s="1"/>
  <c r="F452" i="1"/>
  <c r="G452" i="1"/>
  <c r="H452" i="1"/>
  <c r="H461" i="1" s="1"/>
  <c r="H641" i="1" s="1"/>
  <c r="F460" i="1"/>
  <c r="F461" i="1" s="1"/>
  <c r="H639" i="1" s="1"/>
  <c r="G460" i="1"/>
  <c r="H460" i="1"/>
  <c r="G461" i="1"/>
  <c r="F470" i="1"/>
  <c r="G470" i="1"/>
  <c r="H470" i="1"/>
  <c r="I470" i="1"/>
  <c r="J470" i="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F571" i="1" s="1"/>
  <c r="G565" i="1"/>
  <c r="H565" i="1"/>
  <c r="I565" i="1"/>
  <c r="J565" i="1"/>
  <c r="K565" i="1"/>
  <c r="K571" i="1" s="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5" i="1"/>
  <c r="H627" i="1"/>
  <c r="H628" i="1"/>
  <c r="H629" i="1"/>
  <c r="H630" i="1"/>
  <c r="H631" i="1"/>
  <c r="H632" i="1"/>
  <c r="H633" i="1"/>
  <c r="H635" i="1"/>
  <c r="H636" i="1"/>
  <c r="H637" i="1"/>
  <c r="H638" i="1"/>
  <c r="G640" i="1"/>
  <c r="J640" i="1" s="1"/>
  <c r="H640" i="1"/>
  <c r="G643" i="1"/>
  <c r="G644" i="1"/>
  <c r="G650" i="1"/>
  <c r="G652" i="1"/>
  <c r="H652" i="1"/>
  <c r="G653" i="1"/>
  <c r="H653" i="1"/>
  <c r="G654" i="1"/>
  <c r="H654" i="1"/>
  <c r="H655" i="1"/>
  <c r="J655" i="1" s="1"/>
  <c r="L351" i="1"/>
  <c r="D18" i="2"/>
  <c r="C91" i="2"/>
  <c r="D50" i="2"/>
  <c r="F18" i="2"/>
  <c r="E103" i="2"/>
  <c r="D91" i="2"/>
  <c r="G62" i="2"/>
  <c r="E78" i="2"/>
  <c r="E81" i="2" s="1"/>
  <c r="H112" i="1"/>
  <c r="L419" i="1"/>
  <c r="D81" i="2"/>
  <c r="I169" i="1"/>
  <c r="J476" i="1"/>
  <c r="H626" i="1" s="1"/>
  <c r="F169" i="1"/>
  <c r="J140" i="1"/>
  <c r="G22" i="2"/>
  <c r="H552" i="1"/>
  <c r="C29" i="10"/>
  <c r="H140" i="1"/>
  <c r="G22" i="13"/>
  <c r="C22" i="13" s="1"/>
  <c r="H192" i="1"/>
  <c r="C35" i="10"/>
  <c r="J636" i="1"/>
  <c r="G36" i="2"/>
  <c r="L614" i="1" l="1"/>
  <c r="L570" i="1"/>
  <c r="J571" i="1"/>
  <c r="I571" i="1"/>
  <c r="L565" i="1"/>
  <c r="L560" i="1"/>
  <c r="H571" i="1"/>
  <c r="L544" i="1"/>
  <c r="I545" i="1"/>
  <c r="G552" i="1"/>
  <c r="G545" i="1"/>
  <c r="K545" i="1"/>
  <c r="K549" i="1"/>
  <c r="I552" i="1"/>
  <c r="J545" i="1"/>
  <c r="H545" i="1"/>
  <c r="F552" i="1"/>
  <c r="A40" i="12"/>
  <c r="A13" i="12"/>
  <c r="K605" i="1"/>
  <c r="G648" i="1" s="1"/>
  <c r="J651" i="1"/>
  <c r="K598" i="1"/>
  <c r="G647" i="1" s="1"/>
  <c r="C122" i="2"/>
  <c r="L256" i="1"/>
  <c r="C125" i="2"/>
  <c r="H662" i="1"/>
  <c r="D15" i="13"/>
  <c r="C15" i="13" s="1"/>
  <c r="C123" i="2"/>
  <c r="C20" i="10"/>
  <c r="C19" i="10"/>
  <c r="C18" i="10"/>
  <c r="C121" i="2"/>
  <c r="C120" i="2"/>
  <c r="C118" i="2"/>
  <c r="C12" i="10"/>
  <c r="J257" i="1"/>
  <c r="J271" i="1" s="1"/>
  <c r="C11" i="10"/>
  <c r="C110" i="2"/>
  <c r="K257" i="1"/>
  <c r="K271" i="1" s="1"/>
  <c r="I257" i="1"/>
  <c r="I271" i="1" s="1"/>
  <c r="H257" i="1"/>
  <c r="H271" i="1" s="1"/>
  <c r="L247" i="1"/>
  <c r="F257" i="1"/>
  <c r="F271" i="1" s="1"/>
  <c r="F192" i="1"/>
  <c r="C81" i="2"/>
  <c r="J617" i="1"/>
  <c r="C18" i="2"/>
  <c r="F476" i="1"/>
  <c r="H622" i="1" s="1"/>
  <c r="J622" i="1" s="1"/>
  <c r="L290" i="1"/>
  <c r="C13" i="10"/>
  <c r="F338" i="1"/>
  <c r="F352" i="1" s="1"/>
  <c r="L328" i="1"/>
  <c r="E118" i="2"/>
  <c r="G338" i="1"/>
  <c r="G352" i="1" s="1"/>
  <c r="H476" i="1"/>
  <c r="H624" i="1" s="1"/>
  <c r="H52" i="1"/>
  <c r="H619" i="1" s="1"/>
  <c r="L427" i="1"/>
  <c r="H408" i="1"/>
  <c r="H644" i="1" s="1"/>
  <c r="J644" i="1"/>
  <c r="J641" i="1"/>
  <c r="L270" i="1"/>
  <c r="J634" i="1"/>
  <c r="G476" i="1"/>
  <c r="H623" i="1" s="1"/>
  <c r="J623" i="1" s="1"/>
  <c r="G157" i="2"/>
  <c r="F661" i="1"/>
  <c r="G661" i="1"/>
  <c r="D62" i="2"/>
  <c r="D63" i="2" s="1"/>
  <c r="D31" i="2"/>
  <c r="J639" i="1"/>
  <c r="L362" i="1"/>
  <c r="G635" i="1" s="1"/>
  <c r="J635" i="1" s="1"/>
  <c r="K551" i="1"/>
  <c r="I25" i="13"/>
  <c r="G624" i="1"/>
  <c r="K500" i="1"/>
  <c r="I452" i="1"/>
  <c r="H338" i="1"/>
  <c r="H352" i="1" s="1"/>
  <c r="C25" i="10"/>
  <c r="C17" i="10"/>
  <c r="C111" i="2"/>
  <c r="L211" i="1"/>
  <c r="C15" i="10"/>
  <c r="D29" i="13"/>
  <c r="C29" i="13" s="1"/>
  <c r="D12" i="13"/>
  <c r="C12" i="13" s="1"/>
  <c r="E8" i="13"/>
  <c r="C26" i="10"/>
  <c r="G649" i="1"/>
  <c r="J649" i="1" s="1"/>
  <c r="L524" i="1"/>
  <c r="C124" i="2"/>
  <c r="C16" i="10"/>
  <c r="D17" i="13"/>
  <c r="H647" i="1"/>
  <c r="J647" i="1" s="1"/>
  <c r="C114" i="2"/>
  <c r="C17" i="13"/>
  <c r="D6" i="13"/>
  <c r="C6" i="13" s="1"/>
  <c r="E13" i="13"/>
  <c r="C13" i="13" s="1"/>
  <c r="L309" i="1"/>
  <c r="K550" i="1"/>
  <c r="I460" i="1"/>
  <c r="I446" i="1"/>
  <c r="G642" i="1" s="1"/>
  <c r="E109" i="2"/>
  <c r="E115" i="2" s="1"/>
  <c r="C57" i="2"/>
  <c r="C62" i="2" s="1"/>
  <c r="C63" i="2" s="1"/>
  <c r="F662" i="1"/>
  <c r="I662" i="1" s="1"/>
  <c r="C21" i="10"/>
  <c r="D19" i="13"/>
  <c r="C19" i="13" s="1"/>
  <c r="D14" i="13"/>
  <c r="C14" i="13" s="1"/>
  <c r="G645" i="1"/>
  <c r="J645" i="1" s="1"/>
  <c r="L539" i="1"/>
  <c r="K503" i="1"/>
  <c r="G257" i="1"/>
  <c r="G271" i="1" s="1"/>
  <c r="E122" i="2"/>
  <c r="H661" i="1"/>
  <c r="D5" i="13"/>
  <c r="C5" i="13" s="1"/>
  <c r="D127" i="2"/>
  <c r="D128" i="2" s="1"/>
  <c r="D145" i="2" s="1"/>
  <c r="D7" i="13"/>
  <c r="C7" i="13" s="1"/>
  <c r="E16" i="13"/>
  <c r="C16" i="13" s="1"/>
  <c r="C10" i="10"/>
  <c r="C109" i="2"/>
  <c r="L229" i="1"/>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J618" i="1"/>
  <c r="G42" i="2"/>
  <c r="J51" i="1"/>
  <c r="G16" i="2"/>
  <c r="J19" i="1"/>
  <c r="G621" i="1" s="1"/>
  <c r="G18" i="2"/>
  <c r="F545" i="1"/>
  <c r="H434" i="1"/>
  <c r="J620" i="1"/>
  <c r="J619" i="1"/>
  <c r="D103" i="2"/>
  <c r="I140" i="1"/>
  <c r="I193" i="1" s="1"/>
  <c r="G630" i="1" s="1"/>
  <c r="J630" i="1" s="1"/>
  <c r="A22" i="12"/>
  <c r="G50" i="2"/>
  <c r="G51" i="2" s="1"/>
  <c r="J652" i="1"/>
  <c r="G571" i="1"/>
  <c r="I434" i="1"/>
  <c r="G434" i="1"/>
  <c r="E104" i="2"/>
  <c r="I663" i="1"/>
  <c r="L545" i="1" l="1"/>
  <c r="E33" i="13"/>
  <c r="D35" i="13" s="1"/>
  <c r="C8" i="13"/>
  <c r="H648" i="1"/>
  <c r="J648" i="1" s="1"/>
  <c r="C128" i="2"/>
  <c r="C115" i="2"/>
  <c r="H660" i="1"/>
  <c r="H664" i="1" s="1"/>
  <c r="G4" i="14"/>
  <c r="H4" i="14" s="1"/>
  <c r="I4" i="14" s="1"/>
  <c r="C104" i="2"/>
  <c r="E128" i="2"/>
  <c r="F660" i="1"/>
  <c r="F664" i="1" s="1"/>
  <c r="F672" i="1" s="1"/>
  <c r="C4" i="10" s="1"/>
  <c r="G36" i="14"/>
  <c r="H36" i="14" s="1"/>
  <c r="I36" i="14" s="1"/>
  <c r="G24" i="14"/>
  <c r="H24" i="14" s="1"/>
  <c r="I24" i="14" s="1"/>
  <c r="L338" i="1"/>
  <c r="L352" i="1" s="1"/>
  <c r="G633" i="1" s="1"/>
  <c r="J633" i="1" s="1"/>
  <c r="E145" i="2"/>
  <c r="J624" i="1"/>
  <c r="G104" i="2"/>
  <c r="I661" i="1"/>
  <c r="C27" i="10"/>
  <c r="C28" i="10" s="1"/>
  <c r="D23" i="10" s="1"/>
  <c r="D104" i="2"/>
  <c r="C25" i="13"/>
  <c r="I33" i="13"/>
  <c r="D31" i="13"/>
  <c r="C31" i="13" s="1"/>
  <c r="K552" i="1"/>
  <c r="L408" i="1"/>
  <c r="G660" i="1"/>
  <c r="G664" i="1" s="1"/>
  <c r="G667" i="1" s="1"/>
  <c r="L257" i="1"/>
  <c r="L271" i="1" s="1"/>
  <c r="G632" i="1" s="1"/>
  <c r="J632" i="1" s="1"/>
  <c r="I461" i="1"/>
  <c r="H642" i="1" s="1"/>
  <c r="J642" i="1" s="1"/>
  <c r="C51" i="2"/>
  <c r="G631" i="1"/>
  <c r="J631" i="1" s="1"/>
  <c r="G193" i="1"/>
  <c r="G628" i="1" s="1"/>
  <c r="J628" i="1" s="1"/>
  <c r="G626" i="1"/>
  <c r="J626" i="1" s="1"/>
  <c r="J52" i="1"/>
  <c r="H621" i="1" s="1"/>
  <c r="J621" i="1" s="1"/>
  <c r="C38" i="10"/>
  <c r="C145" i="2" l="1"/>
  <c r="F667" i="1"/>
  <c r="I660" i="1"/>
  <c r="I664" i="1" s="1"/>
  <c r="I672" i="1" s="1"/>
  <c r="C7" i="10" s="1"/>
  <c r="G672" i="1"/>
  <c r="C5" i="10" s="1"/>
  <c r="D25" i="10"/>
  <c r="H667" i="1"/>
  <c r="H672" i="1"/>
  <c r="C6" i="10" s="1"/>
  <c r="G637" i="1"/>
  <c r="J637" i="1" s="1"/>
  <c r="H646" i="1"/>
  <c r="J646" i="1" s="1"/>
  <c r="D22" i="10"/>
  <c r="D18" i="10"/>
  <c r="D27" i="10"/>
  <c r="D15" i="10"/>
  <c r="D21" i="10"/>
  <c r="D24" i="10"/>
  <c r="D20" i="10"/>
  <c r="D11" i="10"/>
  <c r="D12" i="10"/>
  <c r="D13" i="10"/>
  <c r="D17" i="10"/>
  <c r="D19" i="10"/>
  <c r="D10" i="10"/>
  <c r="D26" i="10"/>
  <c r="C30" i="10"/>
  <c r="D16" i="10"/>
  <c r="D33" i="13"/>
  <c r="D36" i="13" s="1"/>
  <c r="C41" i="10"/>
  <c r="D38" i="10" s="1"/>
  <c r="I667" i="1" l="1"/>
  <c r="H656"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<sst xmlns="http://schemas.openxmlformats.org/spreadsheetml/2006/main" count="5523" uniqueCount="1625">
  <si>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</si>
  <si>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</si>
  <si>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</si>
  <si>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</si>
  <si>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</si>
  <si>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</si>
  <si>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</si>
  <si>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</si>
  <si>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</si>
  <si>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</si>
  <si>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</si>
  <si>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</si>
  <si>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</si>
  <si>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</si>
  <si>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</si>
  <si>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</si>
  <si>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</si>
  <si>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</si>
  <si>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</si>
  <si>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</si>
  <si>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</si>
  <si>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</si>
  <si>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</si>
  <si>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</si>
  <si>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</si>
  <si>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</si>
  <si>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</si>
  <si>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</si>
  <si>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</si>
  <si>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</si>
  <si>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</si>
  <si>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</si>
  <si>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</si>
  <si>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</si>
  <si>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</si>
  <si>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</si>
  <si>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</si>
  <si>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</si>
  <si>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</si>
  <si>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</si>
  <si>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</si>
  <si>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</si>
  <si>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</si>
  <si>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</si>
  <si>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</si>
  <si>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</si>
  <si>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</si>
  <si>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</si>
  <si>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</si>
  <si>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</si>
  <si>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</si>
  <si>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</si>
  <si>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</si>
  <si>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</si>
  <si>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</si>
  <si>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</si>
  <si>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</si>
  <si>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</si>
  <si>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</si>
  <si>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</si>
  <si>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</si>
  <si>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</si>
  <si>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</si>
  <si>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</si>
  <si>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</si>
  <si>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</si>
  <si>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</si>
  <si>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</si>
  <si>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</si>
  <si>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</si>
  <si>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</si>
  <si>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</si>
  <si>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</si>
  <si>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</si>
  <si>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</si>
  <si>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</si>
  <si>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</si>
  <si>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</si>
  <si>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</si>
  <si>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</si>
  <si>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</si>
  <si>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</si>
  <si>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</si>
  <si>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</si>
  <si>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</si>
  <si>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</si>
  <si>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</si>
  <si>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</si>
  <si>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</si>
  <si>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</si>
  <si>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</si>
  <si>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</si>
  <si>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</si>
  <si>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</si>
  <si>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</si>
  <si>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</si>
  <si>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</si>
  <si>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</si>
  <si>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</si>
  <si>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</si>
  <si>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</si>
  <si>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</si>
  <si>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</si>
  <si>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</si>
  <si>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</si>
  <si>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</si>
  <si>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</si>
  <si>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</si>
  <si>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</si>
  <si>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</si>
  <si>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</si>
  <si>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</si>
  <si>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</si>
  <si>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</si>
  <si>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</si>
  <si>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</si>
  <si>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</si>
  <si>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</si>
  <si>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</si>
  <si>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</si>
  <si>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</si>
  <si>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</si>
  <si>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</si>
  <si>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</si>
  <si>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</si>
  <si>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</si>
  <si>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</si>
  <si>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</si>
  <si>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</si>
  <si>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</si>
  <si>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</si>
  <si>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</si>
  <si>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</si>
  <si>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</si>
  <si>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</si>
  <si>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</si>
  <si>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</si>
  <si>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</si>
  <si>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</si>
  <si>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</si>
  <si>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</si>
  <si>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</si>
  <si>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</si>
  <si>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</si>
  <si>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</si>
  <si>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</si>
  <si>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</si>
  <si>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</si>
  <si>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</si>
  <si>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</si>
  <si>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</si>
  <si>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</si>
  <si>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</si>
  <si>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</si>
  <si>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</si>
  <si>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</si>
  <si>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</si>
  <si>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</si>
  <si>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</si>
  <si>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</si>
  <si>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</si>
  <si>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</si>
  <si>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</si>
  <si>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</si>
  <si>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</si>
  <si>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</si>
  <si>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</si>
  <si>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</si>
  <si>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</si>
  <si>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</si>
  <si>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</si>
  <si>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</si>
  <si>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</si>
  <si>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</si>
  <si>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</si>
  <si>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</si>
  <si>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</si>
  <si>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</si>
  <si>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</si>
  <si>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</si>
  <si>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</si>
  <si>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</si>
  <si>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</si>
  <si>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</si>
  <si>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</si>
  <si>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</si>
  <si>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</si>
  <si>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</si>
  <si>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</si>
  <si>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</si>
  <si>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</si>
  <si>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</si>
  <si>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</si>
  <si>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</si>
  <si>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</si>
  <si>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</si>
  <si>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</si>
  <si>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</si>
  <si>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</si>
  <si>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</si>
  <si>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</si>
  <si>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</si>
  <si>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</si>
  <si>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</si>
  <si>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</si>
  <si>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</si>
  <si>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</si>
  <si>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</si>
  <si>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</si>
  <si>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</si>
  <si>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</si>
  <si>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</si>
  <si>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</si>
  <si>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</si>
  <si>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</si>
  <si>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</si>
  <si>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</si>
  <si>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</si>
  <si>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</si>
  <si>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</si>
  <si>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</si>
  <si>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</si>
  <si>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</si>
  <si>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</si>
  <si>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</si>
  <si>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</si>
  <si>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</si>
  <si>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</si>
  <si>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</si>
  <si>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</si>
  <si>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</si>
  <si>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</si>
  <si>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</si>
  <si>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</si>
  <si>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</si>
  <si>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</si>
  <si>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</si>
  <si>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</si>
  <si>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</si>
  <si>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</si>
  <si>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</si>
  <si>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</si>
  <si>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</si>
  <si>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</si>
  <si>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</si>
  <si>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</si>
  <si>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</si>
  <si>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</si>
  <si>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</si>
  <si>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</si>
  <si>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</si>
  <si>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</si>
  <si>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</si>
  <si>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</si>
  <si>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</si>
  <si>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</si>
  <si>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</si>
  <si>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</si>
  <si>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</si>
  <si>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</si>
  <si>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</si>
  <si>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</si>
  <si>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</si>
  <si>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</si>
  <si>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</si>
  <si>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</si>
  <si>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</si>
  <si>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</si>
  <si>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</si>
  <si>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</si>
  <si>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</si>
  <si>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</si>
  <si>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</si>
  <si>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</si>
  <si>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</si>
  <si>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</si>
  <si>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</si>
  <si>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</si>
  <si>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</si>
  <si>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</si>
  <si>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</si>
  <si>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</si>
  <si>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</si>
  <si>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</si>
  <si>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</si>
  <si>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</si>
  <si>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</si>
  <si>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</si>
  <si>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</si>
  <si>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</si>
  <si>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</si>
  <si>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</si>
  <si>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</si>
  <si>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</si>
  <si>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</si>
  <si>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</si>
  <si>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</si>
  <si>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</si>
  <si>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</si>
  <si>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</si>
  <si>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</si>
  <si>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</si>
  <si>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</si>
  <si>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</si>
  <si>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</si>
  <si>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</si>
  <si>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</si>
  <si>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</si>
  <si>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</si>
  <si>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</si>
  <si>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</si>
  <si>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</si>
  <si>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</si>
  <si>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</si>
  <si>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</si>
  <si>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</si>
  <si>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</si>
  <si>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</si>
  <si>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</si>
  <si>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</si>
  <si>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</si>
  <si>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</si>
  <si>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</si>
  <si>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</si>
  <si>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</si>
  <si>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</si>
  <si>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</si>
  <si>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</si>
  <si>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</si>
  <si>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</si>
  <si>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</si>
  <si>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</si>
  <si>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</si>
  <si>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</si>
  <si>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</si>
  <si>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</si>
  <si>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</si>
  <si>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</si>
  <si>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</si>
  <si>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</si>
  <si>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</si>
  <si>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</si>
  <si>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</si>
  <si>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</si>
  <si>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</si>
  <si>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</si>
  <si>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</si>
  <si>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</si>
  <si>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</si>
  <si>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</si>
  <si>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</si>
  <si>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</si>
  <si>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</si>
  <si>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</si>
  <si>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</si>
  <si>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</si>
  <si>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</si>
  <si>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</si>
  <si>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</si>
  <si>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</si>
  <si>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</si>
  <si>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</si>
  <si>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</si>
  <si>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</si>
  <si>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</si>
  <si>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</si>
  <si>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</si>
  <si>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</si>
  <si>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</si>
  <si>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</si>
  <si>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</si>
  <si>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</si>
  <si>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</si>
  <si>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</si>
  <si>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</si>
  <si>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</si>
  <si>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</si>
  <si>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</si>
  <si>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</si>
  <si>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</si>
  <si>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</si>
  <si>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</si>
  <si>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</si>
  <si>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</si>
  <si>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</si>
  <si>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</si>
  <si>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</si>
  <si>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</si>
  <si>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</si>
  <si>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</si>
  <si>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</si>
  <si>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</si>
  <si>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</si>
  <si>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</si>
  <si>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</si>
  <si>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</si>
  <si>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</si>
  <si>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</si>
  <si>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</si>
  <si>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</si>
  <si>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</si>
  <si>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</si>
  <si>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</si>
  <si>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</si>
  <si>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</si>
  <si>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</si>
  <si>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</si>
  <si>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</si>
  <si>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</si>
  <si>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</si>
  <si>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</si>
  <si>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</si>
  <si>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</si>
  <si>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</si>
  <si>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</si>
  <si>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</si>
  <si>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</si>
  <si>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</si>
  <si>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</si>
  <si>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</si>
  <si>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</si>
  <si>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</si>
  <si>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</si>
  <si>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</si>
  <si>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</si>
  <si>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</si>
  <si>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</si>
  <si>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</si>
  <si>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</si>
  <si>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</si>
  <si>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</si>
  <si>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</si>
  <si>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</si>
  <si>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</si>
  <si>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</si>
  <si>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</si>
  <si>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</si>
  <si>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</si>
  <si>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</si>
  <si>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</si>
  <si>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</si>
  <si>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</si>
  <si>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</si>
  <si>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</si>
  <si>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</si>
  <si>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</si>
  <si>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</si>
  <si>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</si>
  <si>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</si>
  <si>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</si>
  <si>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</si>
  <si>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</si>
  <si>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</si>
  <si>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</si>
  <si>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</si>
  <si>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</si>
  <si>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</si>
  <si>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</si>
  <si>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</si>
  <si>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</si>
  <si>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</si>
  <si>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</si>
  <si>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</si>
  <si>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</si>
  <si>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</si>
  <si>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</si>
  <si>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</si>
  <si>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</si>
  <si>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</si>
  <si>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</si>
  <si>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</si>
  <si>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</si>
  <si>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</si>
  <si>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</si>
  <si>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</si>
  <si>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</si>
  <si>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</si>
  <si>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</si>
  <si>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</si>
  <si>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</si>
  <si>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</si>
  <si>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</si>
  <si>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</si>
  <si>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</si>
  <si>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</si>
  <si>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</si>
  <si>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</si>
  <si>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</si>
  <si>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</si>
  <si>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</si>
  <si>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</si>
  <si>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</si>
  <si>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</si>
  <si>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</si>
  <si>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</si>
  <si>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</si>
  <si>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</si>
  <si>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</si>
  <si>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</si>
  <si>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</si>
  <si>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</si>
  <si>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</si>
  <si>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</si>
  <si>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</si>
  <si>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</si>
  <si>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</si>
  <si>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</si>
  <si>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</si>
  <si>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</si>
  <si>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</si>
  <si>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</si>
  <si>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</si>
  <si>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</si>
  <si>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</si>
  <si>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</si>
  <si>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</si>
  <si>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</si>
  <si>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</si>
  <si>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</si>
  <si>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</si>
  <si>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</si>
  <si>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</si>
  <si>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</si>
  <si>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</si>
  <si>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</si>
  <si>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</si>
  <si>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</si>
  <si>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</si>
  <si>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</si>
  <si>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</si>
  <si>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</si>
  <si>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</si>
  <si>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</si>
  <si>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</si>
  <si>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</si>
  <si>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</si>
  <si>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</si>
  <si>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</si>
  <si>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</si>
  <si>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</si>
  <si>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</si>
  <si>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</si>
  <si>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</si>
  <si>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</si>
  <si>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</si>
  <si>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</si>
  <si>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</si>
  <si>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</si>
  <si>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</si>
  <si>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</si>
  <si>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</si>
  <si>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</si>
  <si>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</si>
  <si>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</si>
  <si>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</si>
  <si>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</si>
  <si>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</si>
  <si>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</si>
  <si>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</si>
  <si>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</si>
  <si>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</si>
  <si>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</si>
  <si>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</si>
  <si>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</si>
  <si>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</si>
  <si>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</si>
  <si>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</si>
  <si>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</si>
  <si>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</si>
  <si>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</si>
  <si>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</si>
  <si>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</si>
  <si>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</si>
  <si>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</si>
  <si>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</si>
  <si>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</si>
  <si>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</si>
  <si>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</si>
  <si>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</si>
  <si>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</si>
  <si>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</si>
  <si>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</si>
  <si>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</si>
  <si>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</si>
  <si>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</si>
  <si>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</si>
  <si>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</si>
  <si>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</si>
  <si>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</si>
  <si>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</si>
  <si>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</si>
  <si>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</si>
  <si>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</si>
  <si>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</si>
  <si>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</si>
  <si>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</si>
  <si>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</si>
  <si>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</si>
  <si>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</si>
  <si>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</si>
  <si>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</si>
  <si>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</si>
  <si>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</si>
  <si>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</si>
  <si>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</si>
  <si>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</si>
  <si>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</si>
  <si>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</si>
  <si>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</si>
  <si>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</si>
  <si>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</si>
  <si>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</si>
  <si>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</si>
  <si>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</si>
  <si>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</si>
  <si>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</si>
  <si>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</si>
  <si>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</si>
  <si>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</si>
  <si>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</si>
  <si>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</si>
  <si>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</si>
  <si>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</si>
  <si>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</si>
  <si>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</si>
  <si>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</si>
  <si>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</si>
  <si>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</si>
  <si>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</si>
  <si>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</si>
  <si>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</si>
  <si>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</si>
  <si>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</si>
  <si>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</si>
  <si>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</si>
  <si>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</si>
  <si>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</si>
  <si>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</si>
  <si>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</si>
  <si>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</si>
  <si>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</si>
  <si>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</si>
  <si>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</si>
  <si>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</si>
  <si>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</si>
  <si>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</si>
  <si>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</si>
  <si>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</si>
  <si>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</si>
  <si>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</si>
  <si>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</si>
  <si>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</si>
  <si>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</si>
  <si>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</si>
  <si>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</si>
  <si>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</si>
  <si>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</si>
  <si>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</si>
  <si>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</si>
  <si>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</si>
  <si>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</si>
  <si>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</si>
  <si>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</si>
  <si>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</si>
  <si>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</si>
  <si>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</si>
  <si>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</si>
  <si>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</si>
  <si>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</si>
  <si>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</si>
  <si>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</si>
  <si>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</si>
  <si>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</si>
  <si>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</si>
  <si>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</si>
  <si>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</si>
  <si>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</si>
  <si>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</si>
  <si>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</si>
  <si>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</si>
  <si>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</si>
  <si>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</si>
  <si>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</si>
  <si>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</si>
  <si>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</si>
  <si>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</si>
  <si>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</si>
  <si>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</si>
  <si>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</si>
  <si>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</si>
  <si>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</si>
  <si>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</si>
  <si>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</si>
  <si>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</si>
  <si>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</si>
  <si>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</si>
  <si>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</si>
  <si>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</si>
  <si>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</si>
  <si>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</si>
  <si>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</si>
  <si>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</si>
  <si>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</si>
  <si>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</si>
  <si>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</si>
  <si>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</si>
  <si>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</si>
  <si>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</si>
  <si>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</si>
  <si>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</si>
  <si>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</si>
  <si>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</si>
  <si>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</si>
  <si>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</si>
  <si>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</si>
  <si>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</si>
  <si>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</si>
  <si>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</si>
  <si>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</si>
  <si>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</si>
  <si>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</si>
  <si>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</si>
  <si>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</si>
  <si>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</si>
  <si>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</si>
  <si>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</si>
  <si>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</si>
  <si>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</si>
  <si>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</si>
  <si>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</si>
  <si>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</si>
  <si>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</si>
  <si>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</si>
  <si>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</si>
  <si>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</si>
  <si>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</si>
  <si>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</si>
  <si>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</si>
  <si>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</si>
  <si>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</si>
  <si>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</si>
  <si>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</si>
  <si>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</si>
  <si>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</si>
  <si>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</si>
  <si>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</si>
  <si>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</si>
  <si>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</si>
  <si>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</si>
  <si>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</si>
  <si>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</si>
  <si>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</si>
  <si>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</si>
  <si>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</si>
  <si>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</si>
  <si>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</si>
  <si>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</si>
  <si>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</si>
  <si>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</si>
  <si>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</si>
  <si>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</si>
  <si>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</si>
  <si>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</si>
  <si>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</si>
  <si>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</si>
  <si>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</si>
  <si>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</si>
  <si>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</si>
  <si>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</si>
  <si>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</si>
  <si>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</si>
  <si>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</si>
  <si>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</si>
  <si>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</si>
  <si>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</si>
  <si>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</si>
  <si>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</si>
  <si>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</si>
  <si>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</si>
  <si>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</si>
  <si>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</si>
  <si>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</si>
  <si>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</si>
  <si>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</si>
  <si>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</si>
  <si>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</si>
  <si>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</si>
  <si>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</si>
  <si>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</si>
  <si>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</si>
  <si>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</si>
  <si>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</si>
  <si>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</si>
  <si>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</si>
  <si>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</si>
  <si>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</si>
  <si>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</si>
  <si>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</si>
  <si>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</si>
  <si>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</si>
  <si>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</si>
  <si>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</si>
  <si>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</si>
  <si>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</si>
  <si>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</si>
  <si>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</si>
  <si>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</si>
  <si>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</si>
  <si>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</si>
  <si>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</si>
  <si>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</si>
  <si>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</si>
  <si>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</si>
  <si>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</si>
  <si>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</si>
  <si>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</si>
  <si>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</si>
  <si>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</si>
  <si>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</si>
  <si>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</si>
  <si>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</si>
  <si>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</si>
  <si>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</si>
  <si>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</si>
  <si>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</si>
  <si>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</si>
  <si>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</si>
  <si>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</si>
  <si>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</si>
  <si>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</si>
  <si>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</si>
  <si>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</si>
  <si>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</si>
  <si>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</si>
  <si>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</si>
  <si>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</si>
  <si>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</si>
  <si>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</si>
  <si>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</si>
  <si>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</si>
  <si>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</si>
  <si>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</si>
  <si>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</si>
  <si>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</si>
  <si>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</si>
  <si>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</si>
  <si>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</si>
  <si>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</si>
  <si>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</si>
  <si>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</si>
  <si>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</si>
  <si>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</si>
  <si>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</si>
  <si>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</si>
  <si>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</si>
  <si>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</si>
  <si>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</si>
  <si>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</si>
  <si>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</si>
  <si>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</si>
  <si>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</si>
  <si>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</si>
  <si>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</si>
  <si>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</si>
  <si>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</si>
  <si>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</si>
  <si>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</si>
  <si>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</si>
  <si>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</si>
  <si>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</si>
  <si>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</si>
  <si>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</si>
  <si>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</si>
  <si>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</si>
  <si>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</si>
  <si>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</si>
  <si>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</si>
  <si>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</si>
  <si>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</si>
  <si>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</si>
  <si>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</si>
  <si>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</si>
  <si>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</si>
  <si>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</si>
  <si>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</si>
  <si>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</si>
  <si>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</si>
  <si>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</si>
  <si>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</si>
  <si>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</si>
  <si>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</si>
  <si>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</si>
  <si>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</si>
  <si>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</si>
  <si>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</si>
  <si>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</si>
  <si>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</si>
  <si>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</si>
  <si>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</si>
  <si>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</si>
  <si>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</si>
  <si>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</si>
  <si>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</si>
  <si>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</si>
  <si>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</si>
  <si>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</si>
  <si>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</si>
  <si>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</si>
  <si>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</si>
  <si>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</si>
  <si>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</si>
  <si>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</si>
  <si>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</si>
  <si>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</si>
  <si>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</si>
  <si>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</si>
  <si>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</si>
  <si>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</si>
  <si>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</si>
  <si>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</si>
  <si>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</si>
  <si>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</si>
  <si>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</si>
  <si>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</si>
  <si>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</si>
  <si>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</si>
  <si>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</si>
  <si>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</si>
  <si>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</si>
  <si>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</si>
  <si>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</si>
  <si>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</si>
  <si>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</si>
  <si>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</si>
  <si>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</si>
  <si>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</si>
  <si>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</si>
  <si>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</si>
  <si>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</si>
  <si>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</si>
  <si>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</si>
  <si>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</si>
  <si>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</si>
  <si>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</si>
  <si>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</si>
  <si>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</si>
  <si>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</si>
  <si>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</si>
  <si>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</si>
  <si>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</si>
  <si>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</si>
  <si>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</si>
  <si>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</si>
  <si>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</si>
  <si>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</si>
  <si>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</si>
  <si>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</si>
  <si>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</si>
  <si>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</si>
  <si>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</si>
  <si>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</si>
  <si>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</si>
  <si>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</si>
  <si>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</si>
  <si>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</si>
  <si>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</si>
  <si>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</si>
  <si>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</si>
  <si>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</si>
  <si>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</si>
  <si>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</si>
  <si>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</si>
  <si>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</si>
  <si>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</si>
  <si>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</si>
  <si>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</si>
  <si>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</si>
  <si>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</si>
  <si>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</si>
  <si>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</si>
  <si>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</si>
  <si>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</si>
  <si>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</si>
  <si>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</si>
  <si>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</si>
  <si>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</si>
  <si>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</si>
  <si>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</si>
  <si>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</si>
  <si>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</si>
  <si>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</si>
  <si>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</si>
  <si>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</si>
  <si>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</si>
  <si>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</si>
  <si>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</si>
  <si>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</si>
  <si>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</si>
  <si>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</si>
  <si>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</si>
  <si>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</si>
  <si>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</si>
  <si>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</si>
  <si>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</si>
  <si>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</si>
  <si>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</si>
  <si>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</si>
  <si>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</si>
  <si>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</si>
  <si>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</si>
  <si>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</si>
  <si>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</si>
  <si>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</si>
  <si>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</si>
  <si>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</si>
  <si>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</si>
  <si>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</si>
  <si>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</si>
  <si>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</si>
  <si>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</si>
  <si>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</si>
  <si>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</si>
  <si>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</si>
  <si>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</si>
  <si>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</si>
  <si>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</si>
  <si>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</si>
  <si>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</si>
  <si>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</si>
  <si>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</si>
  <si>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</si>
  <si>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</si>
  <si>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</si>
  <si>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</si>
  <si>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</si>
  <si>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</si>
  <si>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</si>
  <si>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</si>
  <si>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</si>
  <si>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</si>
  <si>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</si>
  <si>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</si>
  <si>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</si>
  <si>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</si>
  <si>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</si>
  <si>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</si>
  <si>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</si>
  <si>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</si>
  <si>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</si>
  <si>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</si>
  <si>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</si>
  <si>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</si>
  <si>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</si>
  <si>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</si>
  <si>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</si>
  <si>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</si>
  <si>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</si>
  <si>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</si>
  <si>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</si>
  <si>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</si>
  <si>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</si>
  <si>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</si>
  <si>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</si>
  <si>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</si>
  <si>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</si>
  <si>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</si>
  <si>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</si>
  <si>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</si>
  <si>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</si>
  <si>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</si>
  <si>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</si>
  <si>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</si>
  <si>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</si>
  <si>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</si>
  <si>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</si>
  <si>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</si>
  <si>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</si>
  <si>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</si>
  <si>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</si>
  <si>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</si>
  <si>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</si>
  <si>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</si>
  <si>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</si>
  <si>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</si>
  <si>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</si>
  <si>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</si>
  <si>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</si>
  <si>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</si>
  <si>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</si>
  <si>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</si>
  <si>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</si>
  <si>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</si>
  <si>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</si>
  <si>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</si>
  <si>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</si>
  <si>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</si>
  <si>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</si>
  <si>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</si>
  <si>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</si>
  <si>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</si>
  <si>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</si>
  <si>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</si>
  <si>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</si>
  <si>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</si>
  <si>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</si>
  <si>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</si>
  <si>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</si>
  <si>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</si>
  <si>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</si>
  <si>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</si>
  <si>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</si>
  <si>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</si>
  <si>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</si>
  <si>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</si>
  <si>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</si>
  <si>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</si>
  <si>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</si>
  <si>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</si>
  <si>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</si>
  <si>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</si>
  <si>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</si>
  <si>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</si>
  <si>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</si>
  <si>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</si>
  <si>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</si>
  <si>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</si>
  <si>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</si>
  <si>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</si>
  <si>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</si>
  <si>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</si>
  <si>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</si>
  <si>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</si>
  <si>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</si>
  <si>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</si>
  <si>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</si>
  <si>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</si>
  <si>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</si>
  <si>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</si>
  <si>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</si>
  <si>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</si>
  <si>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</si>
  <si>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</si>
  <si>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</si>
  <si>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</si>
  <si>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</si>
  <si>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</si>
  <si>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</si>
  <si>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</si>
  <si>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</si>
  <si>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</si>
  <si>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</si>
  <si>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</si>
  <si>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</si>
  <si>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</si>
  <si>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</si>
  <si>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</si>
  <si>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</si>
  <si>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</si>
  <si>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</si>
  <si>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</si>
  <si>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</si>
  <si>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</si>
  <si>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</si>
  <si>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</si>
  <si>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</si>
  <si>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</si>
  <si>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</si>
  <si>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</si>
  <si>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</si>
  <si>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</si>
  <si>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</si>
  <si>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</si>
  <si>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</si>
  <si>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</si>
  <si>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</si>
  <si>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</si>
  <si>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</si>
  <si>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</si>
  <si>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</si>
  <si>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</si>
  <si>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</si>
  <si>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</si>
  <si>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</si>
  <si>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</si>
  <si>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</si>
  <si>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</si>
  <si>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</si>
  <si>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</si>
  <si>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</si>
  <si>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</si>
  <si>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</si>
  <si>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</si>
  <si>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</si>
  <si>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</si>
  <si>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</si>
  <si>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</si>
  <si>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</si>
  <si>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</si>
  <si>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</si>
  <si>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</si>
  <si>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</si>
  <si>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</si>
  <si>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</si>
  <si>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</si>
  <si>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</si>
  <si>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</si>
  <si>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</si>
  <si>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</si>
  <si>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</si>
  <si>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</si>
  <si>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</si>
  <si>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</si>
  <si>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</si>
  <si>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</si>
  <si>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</si>
  <si>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</si>
  <si>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</si>
  <si>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</si>
  <si>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</si>
  <si>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</si>
  <si>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</si>
  <si>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</si>
  <si>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</si>
  <si>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</si>
  <si>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</si>
  <si>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</si>
  <si>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</si>
  <si>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</si>
  <si>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</si>
  <si>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</si>
  <si>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</si>
  <si>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</si>
  <si>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</si>
  <si>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</si>
  <si>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</si>
  <si>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</si>
  <si>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</si>
  <si>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</si>
  <si>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</si>
  <si>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</si>
  <si>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</si>
  <si>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</si>
  <si>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</si>
  <si>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</si>
  <si>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</si>
  <si>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</si>
  <si>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</si>
  <si>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</si>
  <si>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</si>
  <si>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</si>
  <si>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</si>
  <si>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</si>
  <si>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</si>
  <si>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</si>
  <si>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</si>
  <si>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</si>
  <si>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</si>
  <si>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</si>
  <si>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</si>
  <si>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</si>
  <si>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</si>
  <si>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</si>
  <si>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</si>
  <si>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</si>
  <si>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</si>
  <si>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</si>
  <si>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</si>
  <si>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</si>
  <si>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</si>
  <si>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</si>
  <si>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</si>
  <si>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</si>
  <si>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</si>
  <si>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</si>
  <si>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</si>
  <si>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</si>
  <si>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</si>
  <si>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</si>
  <si>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</si>
  <si>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</si>
  <si>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</si>
  <si>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</si>
  <si>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</si>
  <si>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</si>
  <si>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</si>
  <si>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</si>
  <si>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</si>
  <si>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</si>
  <si>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</si>
  <si>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</si>
  <si>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</si>
  <si>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</si>
  <si>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</si>
  <si>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</si>
  <si>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</si>
  <si>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</si>
  <si>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</si>
  <si>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</si>
  <si>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</si>
  <si>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</si>
  <si>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</si>
  <si>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</si>
  <si>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</si>
  <si>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</si>
  <si>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</si>
  <si>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</si>
  <si>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</si>
  <si>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</si>
  <si>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</si>
  <si>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</si>
  <si>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</si>
  <si>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</si>
  <si>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</si>
  <si>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</si>
  <si>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</si>
  <si>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</si>
  <si>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</si>
  <si>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</si>
  <si>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</si>
  <si>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</si>
  <si>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</si>
  <si>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</si>
  <si>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</si>
  <si>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</si>
  <si>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</si>
  <si>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</si>
  <si>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</si>
  <si>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</si>
  <si>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</si>
  <si>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</si>
  <si>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</si>
  <si>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</si>
  <si>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</si>
  <si>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</si>
  <si>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</si>
  <si>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</si>
  <si>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</si>
  <si>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</si>
  <si>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</si>
  <si>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</si>
  <si>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</si>
  <si>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</si>
  <si>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</si>
  <si>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</si>
  <si>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</si>
  <si>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</si>
  <si>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</si>
  <si>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</si>
  <si>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</si>
  <si>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</si>
  <si>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</si>
  <si>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</si>
  <si>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</si>
  <si>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</si>
  <si>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</si>
  <si>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</si>
  <si>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</si>
  <si>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</si>
  <si>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</si>
  <si>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</si>
  <si>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</si>
  <si>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</si>
  <si>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</si>
  <si>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</si>
  <si>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</si>
  <si>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</si>
  <si>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</si>
  <si>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</si>
  <si>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</si>
  <si>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</si>
  <si>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</si>
  <si>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</si>
  <si>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</si>
  <si>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</si>
  <si>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</si>
  <si>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</si>
  <si>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</si>
  <si>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</si>
  <si>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</si>
  <si>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</si>
  <si>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</si>
  <si>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</si>
  <si>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</si>
  <si>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</si>
  <si>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</si>
  <si>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</si>
  <si>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</si>
  <si>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</si>
  <si>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</si>
  <si>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</si>
  <si>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</si>
  <si>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</si>
  <si>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</si>
  <si>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</si>
  <si>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</si>
  <si>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</si>
  <si>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</si>
  <si>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</si>
  <si>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</si>
  <si>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</si>
  <si>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</si>
  <si>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</si>
  <si>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</si>
  <si>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</si>
  <si>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</si>
  <si>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</si>
  <si>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</si>
  <si>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</si>
  <si>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</si>
  <si>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</si>
  <si>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</si>
  <si>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</si>
  <si>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</si>
  <si>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</si>
  <si>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</si>
  <si>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</si>
  <si>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</si>
  <si>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</si>
  <si>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</si>
  <si>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</si>
  <si>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</si>
  <si>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</si>
  <si>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</si>
  <si>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</si>
  <si>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</si>
  <si>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</si>
  <si>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</si>
  <si>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</si>
  <si>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</si>
  <si>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</si>
  <si>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</si>
  <si>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</si>
  <si>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</si>
  <si>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</si>
  <si>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</si>
  <si>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</si>
  <si>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</si>
  <si>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</si>
  <si>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</si>
  <si>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</si>
  <si>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</si>
  <si>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</si>
  <si>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</si>
  <si>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</si>
  <si>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</si>
  <si>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</si>
  <si>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</si>
  <si>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</si>
  <si>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</si>
  <si>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</si>
  <si>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</si>
  <si>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</si>
  <si>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</si>
  <si>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</si>
  <si>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</si>
  <si>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</si>
  <si>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</si>
  <si>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</si>
  <si>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</si>
  <si>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</si>
  <si>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</si>
  <si>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</si>
  <si>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</si>
  <si>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</si>
  <si>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</si>
  <si>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</si>
  <si>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</si>
  <si>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</si>
  <si>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</si>
  <si>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</si>
  <si>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</si>
  <si>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</si>
  <si>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</si>
  <si>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</si>
  <si>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</si>
  <si>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</si>
  <si>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</si>
  <si>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</si>
  <si>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</si>
  <si>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</si>
  <si>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</si>
  <si>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</si>
  <si>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</si>
  <si>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</si>
  <si>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</si>
  <si>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</si>
  <si>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</si>
  <si>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</si>
  <si>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</si>
  <si>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</si>
  <si>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</si>
  <si>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</si>
  <si>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</si>
  <si>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</si>
  <si>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</si>
  <si>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</si>
  <si>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</si>
  <si>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</si>
  <si>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</si>
  <si>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</si>
  <si>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</si>
  <si>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</si>
  <si>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</si>
  <si>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</si>
  <si>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</si>
  <si>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</si>
  <si>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</si>
  <si>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</si>
  <si>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</si>
  <si>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</si>
  <si>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</si>
  <si>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</si>
  <si>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</si>
  <si>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</si>
  <si>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</si>
  <si>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</si>
  <si>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</si>
  <si>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</si>
  <si>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</si>
  <si>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</si>
  <si>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</si>
  <si>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</si>
  <si>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</si>
  <si>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</si>
  <si>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</si>
  <si>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</si>
  <si>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</si>
  <si>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</si>
  <si>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</si>
  <si>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</si>
  <si>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</si>
  <si>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</si>
  <si>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</si>
  <si>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</si>
  <si>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</si>
  <si>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</si>
  <si>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</si>
  <si>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</si>
  <si>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</si>
  <si>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</si>
  <si>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</si>
  <si>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</si>
  <si>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</si>
  <si>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</si>
  <si>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</si>
  <si>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</si>
  <si>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</si>
  <si>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</si>
  <si>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</si>
  <si>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</si>
  <si>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</si>
  <si>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</si>
  <si>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</si>
  <si>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</si>
  <si>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</si>
  <si>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</si>
  <si>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</si>
  <si>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</si>
  <si>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</si>
  <si>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</si>
  <si>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</si>
  <si>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</si>
  <si>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</si>
  <si>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</si>
  <si>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</si>
  <si>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</si>
  <si>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</si>
  <si>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</si>
  <si>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</si>
  <si>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</si>
  <si>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</si>
  <si>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</si>
  <si>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</si>
  <si>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</si>
  <si>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</si>
  <si>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</si>
  <si>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</si>
  <si>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</si>
  <si>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</si>
  <si>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</si>
  <si>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</si>
  <si>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</si>
  <si>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</si>
  <si>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</si>
  <si>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</si>
  <si>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</si>
  <si>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</si>
  <si>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</si>
  <si>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</si>
  <si>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</si>
  <si>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</si>
  <si>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</si>
  <si>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</si>
  <si>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</si>
  <si>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</si>
  <si>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</si>
  <si>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</si>
  <si>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</si>
  <si>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</si>
  <si>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</si>
  <si>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</si>
  <si>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</si>
  <si>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</si>
  <si>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</si>
  <si>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</si>
  <si>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</si>
  <si>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</si>
  <si>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</si>
  <si>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</si>
  <si>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Raymond School District</t>
  </si>
  <si>
    <t>8/05</t>
  </si>
  <si>
    <t>8/14</t>
  </si>
  <si>
    <t>8/25</t>
  </si>
  <si>
    <t>8/24</t>
  </si>
  <si>
    <t>Scholarship Funds</t>
  </si>
  <si>
    <t>Other Revene from Local Services - $98,801.96 - these are Impact Fees received from the Town of Raymond</t>
  </si>
  <si>
    <t>Other Additional Revenues - $122,434.55 - the majority of this money is from NH School Care Health Incentives ($117,161.00)</t>
  </si>
  <si>
    <t>Other State Aid from State Sources - $12,438.59 - is Differentiated Charter School Aid</t>
  </si>
  <si>
    <t>Transfers from all All Other Special Revenue Funds - $18,792.05 - this is Indirect Costs Revenue Charges to Grants</t>
  </si>
  <si>
    <t>Facilities Acquisition &amp; Construction $3,375.00 - these were the final Engineering costs associated with connecting the RHS</t>
  </si>
  <si>
    <t xml:space="preserve">     pump line to the Town of Raymond water line. </t>
  </si>
  <si>
    <t>Fund Transfers to General Fund - $18,792.05. This is Indirect Costs Revenue Charges to Grants</t>
  </si>
  <si>
    <t>Other Expendable Funds Property of $15,458.29 - this was used from the Textbook CRF to purchase Science &amp; Mathematics</t>
  </si>
  <si>
    <t xml:space="preserve">     Textbooks</t>
  </si>
  <si>
    <t>Other Transportation - $$2,565.00 this is for Homeless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</si>
</sst>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2"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453</v>
      </c>
      <c r="C2" s="21">
        <v>453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1057054.06+100</f>
        <v>1057154.06</v>
      </c>
      <c r="G9" s="18">
        <v>100</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890893.09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114642.49</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10627</v>
      </c>
      <c r="H13" s="18">
        <v>117194.21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175261.19</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1347057.74</v>
      </c>
      <c r="G19" s="41">
        <f>SUM(G9:G18)</f>
        <v>10727</v>
      </c>
      <c r="H19" s="41">
        <f>SUM(H9:H18)</f>
        <v>117194.21</v>
      </c>
      <c r="I19" s="41">
        <f>SUM(I9:I18)</f>
        <v>0</v>
      </c>
      <c r="J19" s="41">
        <f>SUM(J9:J18)</f>
        <v>890893.09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56</v>
      </c>
      <c r="H22" s="18">
        <v>114586.39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139512+352545.73</f>
        <v>492057.73</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102620.37</v>
      </c>
      <c r="G28" s="18"/>
      <c r="H28" s="18">
        <v>2607.8200000000002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723.13-59+3085.19+630+35636+55184+48125</f>
        <v>143324.32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22000</v>
      </c>
      <c r="G30" s="18">
        <v>10671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760002.41999999993</v>
      </c>
      <c r="G32" s="41">
        <f>SUM(G22:G31)</f>
        <v>10727</v>
      </c>
      <c r="H32" s="41">
        <f>SUM(H22:H31)</f>
        <v>117194.21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195000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890893.09</v>
      </c>
      <c r="K48" s="24" t="s">
        <v>288</v>
      </c>
      <c r="L48" s="24" t="s">
        <v>288</v>
      </c>
      <c r="M48" s="8"/>
      <c r="N48" s="266"/>
    </row>
    <row r="49" spans="1:14" s="3" customFormat="1" ht="12.2" customHeight="1" x14ac:dyDescent="0.15">
      <c r="A49" s="1" t="s">
        <v>859</v>
      </c>
      <c r="B49" s="2" t="s">
        <v>289</v>
      </c>
      <c r="C49" s="6">
        <v>34</v>
      </c>
      <c r="D49" s="2"/>
      <c r="E49" s="6">
        <v>753</v>
      </c>
      <c r="F49" s="18">
        <v>31279.119999999999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285776.19999999995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587055.31999999995</v>
      </c>
      <c r="G51" s="41">
        <f>SUM(G35:G50)</f>
        <v>0</v>
      </c>
      <c r="H51" s="41">
        <f>SUM(H35:H50)</f>
        <v>0</v>
      </c>
      <c r="I51" s="41">
        <f>SUM(I35:I50)</f>
        <v>0</v>
      </c>
      <c r="J51" s="41">
        <f>SUM(J35:J50)</f>
        <v>890893.09</v>
      </c>
      <c r="K51" s="45" t="s">
        <v>288</v>
      </c>
      <c r="L51" s="45" t="s">
        <v>288</v>
      </c>
      <c r="N51" s="264"/>
    </row>
    <row r="52" spans="1:14" s="3" customFormat="1" ht="12.2" customHeight="1" thickTop="1" x14ac:dyDescent="0.15">
      <c r="A52" s="38" t="s">
        <v>455</v>
      </c>
      <c r="B52" s="39" t="s">
        <v>289</v>
      </c>
      <c r="C52" s="6">
        <v>37</v>
      </c>
      <c r="D52" s="39" t="s">
        <v>653</v>
      </c>
      <c r="E52" s="39"/>
      <c r="F52" s="41">
        <f>F51+F32</f>
        <v>1347057.7399999998</v>
      </c>
      <c r="G52" s="41">
        <f>G51+G32</f>
        <v>10727</v>
      </c>
      <c r="H52" s="41">
        <f>H51+H32</f>
        <v>117194.21</v>
      </c>
      <c r="I52" s="41">
        <f>I51+I32</f>
        <v>0</v>
      </c>
      <c r="J52" s="41">
        <f>J51+J32</f>
        <v>890893.09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15412433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15412433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23004</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3100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8064.42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154497.17000000001</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188665.59000000003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148.37</v>
      </c>
      <c r="G96" s="18"/>
      <c r="H96" s="18"/>
      <c r="I96" s="18"/>
      <c r="J96" s="18">
        <v>49680.66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257627.29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43600+2156.37</f>
        <v>45756.37</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1865.63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2145.06</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221217.83000000002</v>
      </c>
      <c r="G110" s="18">
        <v>18848.55</v>
      </c>
      <c r="H110" s="18">
        <v>500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271133.26</v>
      </c>
      <c r="G111" s="41">
        <f>SUM(G96:G110)</f>
        <v>276475.84000000003</v>
      </c>
      <c r="H111" s="41">
        <f>SUM(H96:H110)</f>
        <v>500</v>
      </c>
      <c r="I111" s="41">
        <f>SUM(I96:I110)</f>
        <v>0</v>
      </c>
      <c r="J111" s="41">
        <f>SUM(J96:J110)</f>
        <v>49680.66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15872231.85</v>
      </c>
      <c r="G112" s="41">
        <f>G60+G111</f>
        <v>276475.84000000003</v>
      </c>
      <c r="H112" s="41">
        <f>H60+H79+H94+H111</f>
        <v>500</v>
      </c>
      <c r="I112" s="41">
        <f>I60+I111</f>
        <v>0</v>
      </c>
      <c r="J112" s="41">
        <f>J60+J111</f>
        <v>49680.66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4897301.7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2032764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12438.59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6942504.29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325149.26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77339.899999999994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143750.26999999999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19283.599999999999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7097.78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56553.6+35440</f>
        <v>91993.600000000006</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565523.03</v>
      </c>
      <c r="G136" s="41">
        <f>SUM(G123:G135)</f>
        <v>7097.78</v>
      </c>
      <c r="H136" s="41">
        <f>SUM(H123:H135)</f>
        <v>91993.600000000006</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7508027.3200000003</v>
      </c>
      <c r="G140" s="41">
        <f>G121+SUM(G136:G137)</f>
        <v>7097.78</v>
      </c>
      <c r="H140" s="41">
        <f>H121+SUM(H136:H139)</f>
        <v>91993.600000000006</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16068.33+231720.94</f>
        <v>247789.27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2137.5+957.99+5474.79+6687.43+643.06+7232.88+98053.37+178221.98+49604.97</f>
        <v>349013.97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192520.11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37238.56+318411.1+8619.1</f>
        <v>364268.75999999995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237625.74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237625.74</v>
      </c>
      <c r="G162" s="41">
        <f>SUM(G150:G161)</f>
        <v>192520.11</v>
      </c>
      <c r="H162" s="41">
        <f>SUM(H150:H161)</f>
        <v>961072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237625.74</v>
      </c>
      <c r="G169" s="41">
        <f>G147+G162+SUM(G163:G168)</f>
        <v>192520.11</v>
      </c>
      <c r="H169" s="41">
        <f>H147+H162+SUM(H163:H168)</f>
        <v>961072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81797.55</v>
      </c>
      <c r="H179" s="18"/>
      <c r="I179" s="18"/>
      <c r="J179" s="18">
        <v>285400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f>18773.37+18.68</f>
        <v>18792.05</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18792.05</v>
      </c>
      <c r="G183" s="41">
        <f>SUM(G179:G182)</f>
        <v>81797.55</v>
      </c>
      <c r="H183" s="41">
        <f>SUM(H179:H182)</f>
        <v>0</v>
      </c>
      <c r="I183" s="41">
        <f>SUM(I179:I182)</f>
        <v>0</v>
      </c>
      <c r="J183" s="41">
        <f>SUM(J179:J182)</f>
        <v>285400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18792.05</v>
      </c>
      <c r="G192" s="41">
        <f>G183+SUM(G188:G191)</f>
        <v>81797.55</v>
      </c>
      <c r="H192" s="41">
        <f>+H183+SUM(H188:H191)</f>
        <v>0</v>
      </c>
      <c r="I192" s="41">
        <f>I177+I183+SUM(I188:I191)</f>
        <v>0</v>
      </c>
      <c r="J192" s="41">
        <f>J183</f>
        <v>285400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23636676.960000001</v>
      </c>
      <c r="G193" s="47">
        <f>G112+G140+G169+G192</f>
        <v>557891.28</v>
      </c>
      <c r="H193" s="47">
        <f>H112+H140+H169+H192</f>
        <v>1053565.6000000001</v>
      </c>
      <c r="I193" s="47">
        <f>I112+I140+I169+I192</f>
        <v>0</v>
      </c>
      <c r="J193" s="47">
        <f>J112+J140+J192</f>
        <v>335080.66000000003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1839095.87</v>
      </c>
      <c r="G197" s="18">
        <v>933375.52</v>
      </c>
      <c r="H197" s="18">
        <f>73604.96-576.34</f>
        <v>73028.62000000001</v>
      </c>
      <c r="I197" s="18">
        <v>75271.44</v>
      </c>
      <c r="J197" s="18">
        <v>8208.09</v>
      </c>
      <c r="K197" s="18">
        <v>0</v>
      </c>
      <c r="L197" s="19">
        <f>SUM(F197:K197)</f>
        <v>2928979.54</v>
      </c>
      <c r="M197" s="8"/>
      <c r="N197" s="266"/>
    </row>
    <row r="198" spans="1:14" s="3" customFormat="1" ht="12.2" customHeight="1" x14ac:dyDescent="0.15">
      <c r="A198" s="1" t="s">
        <v>439</v>
      </c>
      <c r="B198" s="2" t="s">
        <v>341</v>
      </c>
      <c r="C198" s="2" t="s">
        <v>291</v>
      </c>
      <c r="D198" s="2" t="s">
        <v>431</v>
      </c>
      <c r="E198" s="6">
        <v>1200</v>
      </c>
      <c r="F198" s="18">
        <v>746199.65</v>
      </c>
      <c r="G198" s="18">
        <v>675743.45</v>
      </c>
      <c r="H198" s="18">
        <v>576789.54</v>
      </c>
      <c r="I198" s="18">
        <v>3797.42</v>
      </c>
      <c r="J198" s="18">
        <v>353.34</v>
      </c>
      <c r="K198" s="18">
        <v>4898.7</v>
      </c>
      <c r="L198" s="19">
        <f>SUM(F198:K198)</f>
        <v>2007782.1</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11114.5</v>
      </c>
      <c r="G200" s="18">
        <v>2245.5700000000002</v>
      </c>
      <c r="H200" s="18">
        <v>36221.089999999997</v>
      </c>
      <c r="I200" s="18">
        <v>555.45000000000005</v>
      </c>
      <c r="J200" s="18">
        <v>1626.5</v>
      </c>
      <c r="K200" s="18">
        <v>0</v>
      </c>
      <c r="L200" s="19">
        <f>SUM(F200:K200)</f>
        <v>51763.109999999993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249123.96</v>
      </c>
      <c r="G202" s="18">
        <v>132713.60999999999</v>
      </c>
      <c r="H202" s="18">
        <v>120</v>
      </c>
      <c r="I202" s="18">
        <v>5369.16</v>
      </c>
      <c r="J202" s="18">
        <v>0</v>
      </c>
      <c r="K202" s="18">
        <v>0</v>
      </c>
      <c r="L202" s="19">
        <f t="shared" ref="L202:L208" si="0">SUM(F202:K202)</f>
        <v>387326.72999999992</v>
      </c>
      <c r="M202" s="8"/>
      <c r="N202" s="266"/>
    </row>
    <row r="203" spans="1:14" s="3" customFormat="1" ht="12.2" customHeight="1" x14ac:dyDescent="0.15">
      <c r="A203" s="1" t="s">
        <v>443</v>
      </c>
      <c r="B203" s="2" t="s">
        <v>341</v>
      </c>
      <c r="C203" s="2" t="s">
        <v>295</v>
      </c>
      <c r="D203" s="2" t="s">
        <v>431</v>
      </c>
      <c r="E203" s="6">
        <v>2200</v>
      </c>
      <c r="F203" s="18">
        <v>120191.77</v>
      </c>
      <c r="G203" s="18">
        <v>66181.22</v>
      </c>
      <c r="H203" s="18">
        <v>22145.4</v>
      </c>
      <c r="I203" s="18">
        <v>31459.03</v>
      </c>
      <c r="J203" s="18">
        <v>32247.32</v>
      </c>
      <c r="K203" s="18">
        <v>0</v>
      </c>
      <c r="L203" s="19">
        <f t="shared" si="0"/>
        <v>272224.74</v>
      </c>
      <c r="M203" s="8"/>
      <c r="N203" s="266"/>
    </row>
    <row r="204" spans="1:14" s="3" customFormat="1" ht="12.2" customHeight="1" x14ac:dyDescent="0.15">
      <c r="A204" s="1" t="s">
        <v>444</v>
      </c>
      <c r="B204" s="2" t="s">
        <v>341</v>
      </c>
      <c r="C204" s="2" t="s">
        <v>296</v>
      </c>
      <c r="D204" s="2" t="s">
        <v>431</v>
      </c>
      <c r="E204" s="6">
        <v>2300</v>
      </c>
      <c r="F204" s="18">
        <v>171730.7</v>
      </c>
      <c r="G204" s="18">
        <v>76309.14</v>
      </c>
      <c r="H204" s="18">
        <v>57105.74</v>
      </c>
      <c r="I204" s="18">
        <v>6081.38</v>
      </c>
      <c r="J204" s="18">
        <v>0</v>
      </c>
      <c r="K204" s="18">
        <f>3323.54</f>
        <v>3323.54</v>
      </c>
      <c r="L204" s="19">
        <f t="shared" si="0"/>
        <v>314550.5</v>
      </c>
      <c r="M204" s="8"/>
      <c r="N204" s="266"/>
    </row>
    <row r="205" spans="1:14" s="3" customFormat="1" ht="12.2" customHeight="1" x14ac:dyDescent="0.15">
      <c r="A205" s="1" t="s">
        <v>445</v>
      </c>
      <c r="B205" s="2" t="s">
        <v>341</v>
      </c>
      <c r="C205" s="2" t="s">
        <v>297</v>
      </c>
      <c r="D205" s="2" t="s">
        <v>431</v>
      </c>
      <c r="E205" s="6">
        <v>2400</v>
      </c>
      <c r="F205" s="18">
        <v>259613.88</v>
      </c>
      <c r="G205" s="18">
        <v>158452.13</v>
      </c>
      <c r="H205" s="18">
        <v>31497.58</v>
      </c>
      <c r="I205" s="18">
        <v>936.87</v>
      </c>
      <c r="J205" s="18">
        <v>0</v>
      </c>
      <c r="K205" s="18">
        <v>1315</v>
      </c>
      <c r="L205" s="19">
        <f t="shared" si="0"/>
        <v>451815.46</v>
      </c>
      <c r="M205" s="8"/>
      <c r="N205" s="266"/>
    </row>
    <row r="206" spans="1:14" s="3" customFormat="1" ht="12.2" customHeight="1" x14ac:dyDescent="0.15">
      <c r="A206" s="1" t="s">
        <v>446</v>
      </c>
      <c r="B206" s="2" t="s">
        <v>341</v>
      </c>
      <c r="C206" s="2" t="s">
        <v>298</v>
      </c>
      <c r="D206" s="2" t="s">
        <v>431</v>
      </c>
      <c r="E206" s="6">
        <v>2500</v>
      </c>
      <c r="F206" s="18">
        <f>67710.96+0.01</f>
        <v>67710.97</v>
      </c>
      <c r="G206" s="18">
        <v>40018.660000000003</v>
      </c>
      <c r="H206" s="18">
        <v>132.30000000000001</v>
      </c>
      <c r="I206" s="18">
        <v>0</v>
      </c>
      <c r="J206" s="18">
        <v>0</v>
      </c>
      <c r="K206" s="18">
        <v>426</v>
      </c>
      <c r="L206" s="19">
        <f t="shared" si="0"/>
        <v>108287.93000000001</v>
      </c>
      <c r="M206" s="8"/>
      <c r="N206" s="266"/>
    </row>
    <row r="207" spans="1:14" s="3" customFormat="1" ht="12.2" customHeight="1" x14ac:dyDescent="0.15">
      <c r="A207" s="1" t="s">
        <v>447</v>
      </c>
      <c r="B207" s="2" t="s">
        <v>341</v>
      </c>
      <c r="C207" s="2" t="s">
        <v>299</v>
      </c>
      <c r="D207" s="2" t="s">
        <v>431</v>
      </c>
      <c r="E207" s="6">
        <v>2600</v>
      </c>
      <c r="F207" s="18">
        <v>207774.42</v>
      </c>
      <c r="G207" s="18">
        <v>131211.54999999999</v>
      </c>
      <c r="H207" s="18">
        <v>142440.04</v>
      </c>
      <c r="I207" s="18">
        <v>145393.17000000001</v>
      </c>
      <c r="J207" s="18">
        <v>570.53</v>
      </c>
      <c r="K207" s="18">
        <v>0</v>
      </c>
      <c r="L207" s="19">
        <f t="shared" si="0"/>
        <v>627389.71000000008</v>
      </c>
      <c r="M207" s="8"/>
      <c r="N207" s="266"/>
    </row>
    <row r="208" spans="1:14" s="3" customFormat="1" ht="12.2" customHeight="1" x14ac:dyDescent="0.15">
      <c r="A208" s="1" t="s">
        <v>448</v>
      </c>
      <c r="B208" s="2" t="s">
        <v>341</v>
      </c>
      <c r="C208" s="2" t="s">
        <v>300</v>
      </c>
      <c r="D208" s="2" t="s">
        <v>431</v>
      </c>
      <c r="E208" s="6">
        <v>2700</v>
      </c>
      <c r="F208" s="18">
        <v>0</v>
      </c>
      <c r="G208" s="18">
        <v>0</v>
      </c>
      <c r="H208" s="18">
        <v>326551.2</v>
      </c>
      <c r="I208" s="18">
        <v>0</v>
      </c>
      <c r="J208" s="18">
        <v>0</v>
      </c>
      <c r="K208" s="18">
        <v>0</v>
      </c>
      <c r="L208" s="19">
        <f t="shared" si="0"/>
        <v>326551.2</v>
      </c>
      <c r="M208" s="8"/>
      <c r="N208" s="266"/>
    </row>
    <row r="209" spans="1:14" s="3" customFormat="1" ht="12.2" customHeight="1" x14ac:dyDescent="0.15">
      <c r="A209" s="1" t="s">
        <v>449</v>
      </c>
      <c r="B209" s="2" t="s">
        <v>341</v>
      </c>
      <c r="C209" s="2" t="s">
        <v>343</v>
      </c>
      <c r="D209" s="2" t="s">
        <v>431</v>
      </c>
      <c r="E209" s="6">
        <v>2800</v>
      </c>
      <c r="F209" s="18">
        <v>0</v>
      </c>
      <c r="G209" s="18">
        <v>0</v>
      </c>
      <c r="H209" s="18">
        <v>721.52</v>
      </c>
      <c r="I209" s="18">
        <v>0</v>
      </c>
      <c r="J209" s="18">
        <v>0</v>
      </c>
      <c r="K209" s="18">
        <v>0</v>
      </c>
      <c r="L209" s="19">
        <f>SUM(F209:K209)</f>
        <v>721.52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3672555.72</v>
      </c>
      <c r="G211" s="41">
        <f t="shared" si="1"/>
        <v>2216250.8499999996</v>
      </c>
      <c r="H211" s="41">
        <f t="shared" si="1"/>
        <v>1266753.03</v>
      </c>
      <c r="I211" s="41">
        <f t="shared" si="1"/>
        <v>268863.92000000004</v>
      </c>
      <c r="J211" s="41">
        <f t="shared" si="1"/>
        <v>43005.78</v>
      </c>
      <c r="K211" s="41">
        <f t="shared" si="1"/>
        <v>9963.24</v>
      </c>
      <c r="L211" s="41">
        <f t="shared" si="1"/>
        <v>7477392.54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1806921.19</v>
      </c>
      <c r="G215" s="18">
        <v>888096.1</v>
      </c>
      <c r="H215" s="18">
        <f>8717.33-432.25</f>
        <v>8285.08</v>
      </c>
      <c r="I215" s="18">
        <v>37818.800000000003</v>
      </c>
      <c r="J215" s="18">
        <v>26365.46</v>
      </c>
      <c r="K215" s="18">
        <v>0</v>
      </c>
      <c r="L215" s="19">
        <f>SUM(F215:K215)</f>
        <v>2767486.63</v>
      </c>
      <c r="M215" s="8"/>
      <c r="N215" s="266"/>
    </row>
    <row r="216" spans="1:14" s="3" customFormat="1" ht="12.2" customHeight="1" x14ac:dyDescent="0.15">
      <c r="A216" s="1" t="s">
        <v>439</v>
      </c>
      <c r="B216" s="2" t="s">
        <v>346</v>
      </c>
      <c r="C216" s="2" t="s">
        <v>291</v>
      </c>
      <c r="D216" s="2" t="s">
        <v>431</v>
      </c>
      <c r="E216" s="6">
        <v>1200</v>
      </c>
      <c r="F216" s="18">
        <v>568630.93000000005</v>
      </c>
      <c r="G216" s="18">
        <v>506995.71</v>
      </c>
      <c r="H216" s="18">
        <v>578593.28000000003</v>
      </c>
      <c r="I216" s="18">
        <v>1642.53</v>
      </c>
      <c r="J216" s="18">
        <v>0</v>
      </c>
      <c r="K216" s="18">
        <v>3674.02</v>
      </c>
      <c r="L216" s="19">
        <f>SUM(F216:K216)</f>
        <v>1659536.4700000002</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40818.410000000003</v>
      </c>
      <c r="G218" s="18">
        <v>6639.5</v>
      </c>
      <c r="H218" s="18">
        <v>43820.07</v>
      </c>
      <c r="I218" s="18">
        <v>1668.21</v>
      </c>
      <c r="J218" s="18">
        <v>3530.04</v>
      </c>
      <c r="K218" s="18">
        <v>350</v>
      </c>
      <c r="L218" s="19">
        <f>SUM(F218:K218)</f>
        <v>96826.23000000001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208192.64000000001</v>
      </c>
      <c r="G220" s="18">
        <v>120836.84</v>
      </c>
      <c r="H220" s="18">
        <v>62620</v>
      </c>
      <c r="I220" s="18">
        <f>5217.62+0.01</f>
        <v>5217.63</v>
      </c>
      <c r="J220" s="18">
        <v>0</v>
      </c>
      <c r="K220" s="18">
        <v>0</v>
      </c>
      <c r="L220" s="19">
        <f t="shared" ref="L220:L226" si="2">SUM(F220:K220)</f>
        <v>396867.11</v>
      </c>
      <c r="M220" s="8"/>
      <c r="N220" s="266"/>
    </row>
    <row r="221" spans="1:14" s="3" customFormat="1" ht="12.2" customHeight="1" x14ac:dyDescent="0.15">
      <c r="A221" s="1" t="s">
        <v>443</v>
      </c>
      <c r="B221" s="2" t="s">
        <v>346</v>
      </c>
      <c r="C221" s="2" t="s">
        <v>295</v>
      </c>
      <c r="D221" s="2" t="s">
        <v>431</v>
      </c>
      <c r="E221" s="6">
        <v>2200</v>
      </c>
      <c r="F221" s="18">
        <v>97705.15</v>
      </c>
      <c r="G221" s="18">
        <v>54027.95</v>
      </c>
      <c r="H221" s="18">
        <v>16296.29</v>
      </c>
      <c r="I221" s="18">
        <v>23734.14</v>
      </c>
      <c r="J221" s="18">
        <v>33618.550000000003</v>
      </c>
      <c r="K221" s="18">
        <v>0</v>
      </c>
      <c r="L221" s="19">
        <f t="shared" si="2"/>
        <v>225382.07999999996</v>
      </c>
      <c r="M221" s="8"/>
      <c r="N221" s="266"/>
    </row>
    <row r="222" spans="1:14" s="3" customFormat="1" ht="12.2" customHeight="1" x14ac:dyDescent="0.15">
      <c r="A222" s="1" t="s">
        <v>444</v>
      </c>
      <c r="B222" s="2" t="s">
        <v>346</v>
      </c>
      <c r="C222" s="2" t="s">
        <v>296</v>
      </c>
      <c r="D222" s="2" t="s">
        <v>431</v>
      </c>
      <c r="E222" s="6">
        <v>2300</v>
      </c>
      <c r="F222" s="18">
        <v>128798.1</v>
      </c>
      <c r="G222" s="18">
        <v>57231.85</v>
      </c>
      <c r="H222" s="18">
        <v>42829.3</v>
      </c>
      <c r="I222" s="18">
        <v>4561.03</v>
      </c>
      <c r="J222" s="18">
        <v>0</v>
      </c>
      <c r="K222" s="18">
        <f>2492.66-0.02</f>
        <v>2492.64</v>
      </c>
      <c r="L222" s="19">
        <f t="shared" si="2"/>
        <v>235912.92</v>
      </c>
      <c r="M222" s="8"/>
      <c r="N222" s="266"/>
    </row>
    <row r="223" spans="1:14" s="3" customFormat="1" ht="12.2" customHeight="1" x14ac:dyDescent="0.15">
      <c r="A223" s="1" t="s">
        <v>445</v>
      </c>
      <c r="B223" s="2" t="s">
        <v>346</v>
      </c>
      <c r="C223" s="2" t="s">
        <v>297</v>
      </c>
      <c r="D223" s="2" t="s">
        <v>431</v>
      </c>
      <c r="E223" s="6">
        <v>2400</v>
      </c>
      <c r="F223" s="18">
        <v>279609.71000000002</v>
      </c>
      <c r="G223" s="18">
        <v>158398.51999999999</v>
      </c>
      <c r="H223" s="18">
        <v>35677.269999999997</v>
      </c>
      <c r="I223" s="18">
        <v>2239.5500000000002</v>
      </c>
      <c r="J223" s="18">
        <v>0</v>
      </c>
      <c r="K223" s="18">
        <v>1105</v>
      </c>
      <c r="L223" s="19">
        <f t="shared" si="2"/>
        <v>477030.05</v>
      </c>
      <c r="M223" s="8"/>
      <c r="N223" s="266"/>
    </row>
    <row r="224" spans="1:14" s="3" customFormat="1" ht="12.2" customHeight="1" x14ac:dyDescent="0.15">
      <c r="A224" s="1" t="s">
        <v>446</v>
      </c>
      <c r="B224" s="2" t="s">
        <v>346</v>
      </c>
      <c r="C224" s="2" t="s">
        <v>298</v>
      </c>
      <c r="D224" s="2" t="s">
        <v>431</v>
      </c>
      <c r="E224" s="6">
        <v>2500</v>
      </c>
      <c r="F224" s="18">
        <v>50783.22</v>
      </c>
      <c r="G224" s="18">
        <v>30014</v>
      </c>
      <c r="H224" s="18">
        <v>99.22</v>
      </c>
      <c r="I224" s="18">
        <v>0</v>
      </c>
      <c r="J224" s="18">
        <v>0</v>
      </c>
      <c r="K224" s="18">
        <v>319.5</v>
      </c>
      <c r="L224" s="19">
        <f t="shared" si="2"/>
        <v>81215.94</v>
      </c>
      <c r="M224" s="8"/>
      <c r="N224" s="266"/>
    </row>
    <row r="225" spans="1:14" s="3" customFormat="1" ht="12.2" customHeight="1" x14ac:dyDescent="0.15">
      <c r="A225" s="1" t="s">
        <v>447</v>
      </c>
      <c r="B225" s="2" t="s">
        <v>346</v>
      </c>
      <c r="C225" s="2" t="s">
        <v>299</v>
      </c>
      <c r="D225" s="2" t="s">
        <v>431</v>
      </c>
      <c r="E225" s="6">
        <v>2600</v>
      </c>
      <c r="F225" s="18">
        <v>207393.06</v>
      </c>
      <c r="G225" s="18">
        <v>137908.89000000001</v>
      </c>
      <c r="H225" s="18">
        <v>121807.61</v>
      </c>
      <c r="I225" s="18">
        <v>190122.82</v>
      </c>
      <c r="J225" s="18">
        <v>427.9</v>
      </c>
      <c r="K225" s="18">
        <v>0</v>
      </c>
      <c r="L225" s="19">
        <f t="shared" si="2"/>
        <v>657660.28</v>
      </c>
      <c r="M225" s="8"/>
      <c r="N225" s="266"/>
    </row>
    <row r="226" spans="1:14" s="3" customFormat="1" ht="12.2" customHeight="1" x14ac:dyDescent="0.15">
      <c r="A226" s="1" t="s">
        <v>448</v>
      </c>
      <c r="B226" s="2" t="s">
        <v>346</v>
      </c>
      <c r="C226" s="2" t="s">
        <v>300</v>
      </c>
      <c r="D226" s="2" t="s">
        <v>431</v>
      </c>
      <c r="E226" s="6">
        <v>2700</v>
      </c>
      <c r="F226" s="18">
        <v>0</v>
      </c>
      <c r="G226" s="18">
        <v>0</v>
      </c>
      <c r="H226" s="18">
        <v>254868.2</v>
      </c>
      <c r="I226" s="18">
        <v>0</v>
      </c>
      <c r="J226" s="18">
        <v>0</v>
      </c>
      <c r="K226" s="18">
        <v>0</v>
      </c>
      <c r="L226" s="19">
        <f t="shared" si="2"/>
        <v>254868.2</v>
      </c>
      <c r="M226" s="8"/>
      <c r="N226" s="266"/>
    </row>
    <row r="227" spans="1:14" s="3" customFormat="1" ht="12.2" customHeight="1" x14ac:dyDescent="0.15">
      <c r="A227" s="1" t="s">
        <v>449</v>
      </c>
      <c r="B227" s="2" t="s">
        <v>346</v>
      </c>
      <c r="C227" s="2" t="s">
        <v>343</v>
      </c>
      <c r="D227" s="2" t="s">
        <v>431</v>
      </c>
      <c r="E227" s="6">
        <v>2800</v>
      </c>
      <c r="F227" s="18">
        <v>0</v>
      </c>
      <c r="G227" s="18">
        <v>0</v>
      </c>
      <c r="H227" s="18">
        <v>541.14</v>
      </c>
      <c r="I227" s="18">
        <v>0</v>
      </c>
      <c r="J227" s="18">
        <v>0</v>
      </c>
      <c r="K227" s="18">
        <v>0</v>
      </c>
      <c r="L227" s="19">
        <f>SUM(F227:K227)</f>
        <v>541.14</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3388852.4100000006</v>
      </c>
      <c r="G229" s="41">
        <f>SUM(G215:G228)</f>
        <v>1960149.3600000003</v>
      </c>
      <c r="H229" s="41">
        <f>SUM(H215:H228)</f>
        <v>1165437.46</v>
      </c>
      <c r="I229" s="41">
        <f>SUM(I215:I228)</f>
        <v>267004.71000000002</v>
      </c>
      <c r="J229" s="41">
        <f>SUM(J215:J228)</f>
        <v>63941.950000000004</v>
      </c>
      <c r="K229" s="41">
        <f t="shared" si="3"/>
        <v>7941.16</v>
      </c>
      <c r="L229" s="41">
        <f t="shared" si="3"/>
        <v>6853327.0500000007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1740411.43</v>
      </c>
      <c r="G233" s="18">
        <v>930284.2</v>
      </c>
      <c r="H233" s="18">
        <f>36072.48-432.25</f>
        <v>35640.230000000003</v>
      </c>
      <c r="I233" s="18">
        <f>76107.71-0.02</f>
        <v>76107.69</v>
      </c>
      <c r="J233" s="18">
        <v>45734.9</v>
      </c>
      <c r="K233" s="18">
        <v>250</v>
      </c>
      <c r="L233" s="19">
        <f>SUM(F233:K233)</f>
        <v>2828428.4499999997</v>
      </c>
      <c r="M233" s="8"/>
      <c r="N233" s="266"/>
    </row>
    <row r="234" spans="1:14" s="3" customFormat="1" ht="12.2" customHeight="1" x14ac:dyDescent="0.15">
      <c r="A234" s="1" t="s">
        <v>439</v>
      </c>
      <c r="B234" s="2" t="s">
        <v>350</v>
      </c>
      <c r="C234" s="2" t="s">
        <v>291</v>
      </c>
      <c r="D234" s="2" t="s">
        <v>431</v>
      </c>
      <c r="E234" s="6">
        <v>1200</v>
      </c>
      <c r="F234" s="18">
        <v>562373.68999999994</v>
      </c>
      <c r="G234" s="18">
        <v>448205.5</v>
      </c>
      <c r="H234" s="18">
        <v>1101930.3700000001</v>
      </c>
      <c r="I234" s="18">
        <v>2103.61</v>
      </c>
      <c r="J234" s="18">
        <v>1825</v>
      </c>
      <c r="K234" s="18">
        <v>3674.02</v>
      </c>
      <c r="L234" s="19">
        <f>SUM(F234:K234)</f>
        <v>2120112.19</v>
      </c>
      <c r="M234" s="8"/>
      <c r="N234" s="266"/>
    </row>
    <row r="235" spans="1:14" s="3" customFormat="1" ht="12.2" customHeight="1" x14ac:dyDescent="0.15">
      <c r="A235" s="1" t="s">
        <v>440</v>
      </c>
      <c r="B235" s="2" t="s">
        <v>350</v>
      </c>
      <c r="C235" s="2" t="s">
        <v>292</v>
      </c>
      <c r="D235" s="2" t="s">
        <v>431</v>
      </c>
      <c r="E235" s="6">
        <v>1300</v>
      </c>
      <c r="F235" s="18">
        <v>0</v>
      </c>
      <c r="G235" s="18">
        <v>0</v>
      </c>
      <c r="H235" s="18">
        <v>124152</v>
      </c>
      <c r="I235" s="18">
        <v>0</v>
      </c>
      <c r="J235" s="18">
        <v>0</v>
      </c>
      <c r="K235" s="18">
        <v>0</v>
      </c>
      <c r="L235" s="19">
        <f>SUM(F235:K235)</f>
        <v>124152</v>
      </c>
      <c r="M235" s="8"/>
      <c r="N235" s="266"/>
    </row>
    <row r="236" spans="1:14" s="3" customFormat="1" ht="12.2" customHeight="1" x14ac:dyDescent="0.15">
      <c r="A236" s="1" t="s">
        <v>441</v>
      </c>
      <c r="B236" s="2" t="s">
        <v>350</v>
      </c>
      <c r="C236" s="2" t="s">
        <v>293</v>
      </c>
      <c r="D236" s="2" t="s">
        <v>431</v>
      </c>
      <c r="E236" s="6">
        <v>1400</v>
      </c>
      <c r="F236" s="18">
        <v>118471.03</v>
      </c>
      <c r="G236" s="18">
        <v>21424.25</v>
      </c>
      <c r="H236" s="18">
        <v>38455.050000000003</v>
      </c>
      <c r="I236" s="18">
        <v>12229.88</v>
      </c>
      <c r="J236" s="18">
        <v>7224.84</v>
      </c>
      <c r="K236" s="18">
        <v>7080</v>
      </c>
      <c r="L236" s="19">
        <f>SUM(F236:K236)</f>
        <v>204885.05000000002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281069.96999999997</v>
      </c>
      <c r="G238" s="18">
        <v>137807.63</v>
      </c>
      <c r="H238" s="18">
        <v>69832.7</v>
      </c>
      <c r="I238" s="18">
        <v>7076.45</v>
      </c>
      <c r="J238" s="18">
        <v>0</v>
      </c>
      <c r="K238" s="18">
        <v>150</v>
      </c>
      <c r="L238" s="19">
        <f t="shared" ref="L238:L244" si="4">SUM(F238:K238)</f>
        <v>495936.75</v>
      </c>
      <c r="M238" s="8"/>
      <c r="N238" s="266"/>
    </row>
    <row r="239" spans="1:14" s="3" customFormat="1" ht="12.2" customHeight="1" x14ac:dyDescent="0.15">
      <c r="A239" s="1" t="s">
        <v>443</v>
      </c>
      <c r="B239" s="2" t="s">
        <v>350</v>
      </c>
      <c r="C239" s="2" t="s">
        <v>295</v>
      </c>
      <c r="D239" s="2" t="s">
        <v>431</v>
      </c>
      <c r="E239" s="6">
        <v>2200</v>
      </c>
      <c r="F239" s="18">
        <v>111959.13</v>
      </c>
      <c r="G239" s="18">
        <v>57535.95</v>
      </c>
      <c r="H239" s="18">
        <v>19697.55</v>
      </c>
      <c r="I239" s="18">
        <v>24166.15</v>
      </c>
      <c r="J239" s="18">
        <v>38746.51</v>
      </c>
      <c r="K239" s="18">
        <v>0</v>
      </c>
      <c r="L239" s="19">
        <f t="shared" si="4"/>
        <v>252105.29</v>
      </c>
      <c r="M239" s="8"/>
      <c r="N239" s="266"/>
    </row>
    <row r="240" spans="1:14" s="3" customFormat="1" ht="12.2" customHeight="1" x14ac:dyDescent="0.15">
      <c r="A240" s="1" t="s">
        <v>444</v>
      </c>
      <c r="B240" s="2" t="s">
        <v>350</v>
      </c>
      <c r="C240" s="2" t="s">
        <v>296</v>
      </c>
      <c r="D240" s="2" t="s">
        <v>431</v>
      </c>
      <c r="E240" s="6">
        <v>2300</v>
      </c>
      <c r="F240" s="18">
        <v>128798.1</v>
      </c>
      <c r="G240" s="18">
        <v>57231.85</v>
      </c>
      <c r="H240" s="18">
        <v>42829.3</v>
      </c>
      <c r="I240" s="18">
        <v>4561.03</v>
      </c>
      <c r="J240" s="18">
        <v>0</v>
      </c>
      <c r="K240" s="18">
        <f>2492.66-0.02</f>
        <v>2492.64</v>
      </c>
      <c r="L240" s="19">
        <f t="shared" si="4"/>
        <v>235912.92</v>
      </c>
      <c r="M240" s="8"/>
      <c r="N240" s="266"/>
    </row>
    <row r="241" spans="1:14" s="3" customFormat="1" ht="12.2" customHeight="1" x14ac:dyDescent="0.15">
      <c r="A241" s="1" t="s">
        <v>445</v>
      </c>
      <c r="B241" s="2" t="s">
        <v>350</v>
      </c>
      <c r="C241" s="2" t="s">
        <v>297</v>
      </c>
      <c r="D241" s="2" t="s">
        <v>431</v>
      </c>
      <c r="E241" s="6">
        <v>2400</v>
      </c>
      <c r="F241" s="18">
        <v>258497.14</v>
      </c>
      <c r="G241" s="18">
        <v>134502.26999999999</v>
      </c>
      <c r="H241" s="18">
        <v>39533.86</v>
      </c>
      <c r="I241" s="18">
        <v>12732.03</v>
      </c>
      <c r="J241" s="18">
        <v>0</v>
      </c>
      <c r="K241" s="18">
        <v>19403.900000000001</v>
      </c>
      <c r="L241" s="19">
        <f t="shared" si="4"/>
        <v>464669.20000000007</v>
      </c>
      <c r="M241" s="8"/>
      <c r="N241" s="266"/>
    </row>
    <row r="242" spans="1:14" s="3" customFormat="1" ht="12.2" customHeight="1" x14ac:dyDescent="0.15">
      <c r="A242" s="1" t="s">
        <v>446</v>
      </c>
      <c r="B242" s="2" t="s">
        <v>350</v>
      </c>
      <c r="C242" s="2" t="s">
        <v>298</v>
      </c>
      <c r="D242" s="2" t="s">
        <v>431</v>
      </c>
      <c r="E242" s="6">
        <v>2500</v>
      </c>
      <c r="F242" s="18">
        <v>50783.22</v>
      </c>
      <c r="G242" s="18">
        <v>30014</v>
      </c>
      <c r="H242" s="18">
        <v>99.22</v>
      </c>
      <c r="I242" s="18">
        <v>0</v>
      </c>
      <c r="J242" s="18">
        <v>0</v>
      </c>
      <c r="K242" s="18">
        <v>319.5</v>
      </c>
      <c r="L242" s="19">
        <f t="shared" si="4"/>
        <v>81215.94</v>
      </c>
      <c r="M242" s="8"/>
      <c r="N242" s="266"/>
    </row>
    <row r="243" spans="1:14" s="3" customFormat="1" ht="12.2" customHeight="1" x14ac:dyDescent="0.15">
      <c r="A243" s="1" t="s">
        <v>447</v>
      </c>
      <c r="B243" s="2" t="s">
        <v>350</v>
      </c>
      <c r="C243" s="2" t="s">
        <v>299</v>
      </c>
      <c r="D243" s="2" t="s">
        <v>431</v>
      </c>
      <c r="E243" s="6">
        <v>2600</v>
      </c>
      <c r="F243" s="18">
        <v>200393.7</v>
      </c>
      <c r="G243" s="18">
        <v>127997.57</v>
      </c>
      <c r="H243" s="18">
        <v>103465</v>
      </c>
      <c r="I243" s="18">
        <v>145623.95000000001</v>
      </c>
      <c r="J243" s="18">
        <f>1525.9-0.02</f>
        <v>1525.88</v>
      </c>
      <c r="K243" s="18">
        <v>0</v>
      </c>
      <c r="L243" s="19">
        <f t="shared" si="4"/>
        <v>579006.1</v>
      </c>
      <c r="M243" s="8"/>
      <c r="N243" s="266"/>
    </row>
    <row r="244" spans="1:14" s="3" customFormat="1" ht="12.2" customHeight="1" x14ac:dyDescent="0.15">
      <c r="A244" s="1" t="s">
        <v>448</v>
      </c>
      <c r="B244" s="2" t="s">
        <v>350</v>
      </c>
      <c r="C244" s="2" t="s">
        <v>300</v>
      </c>
      <c r="D244" s="2" t="s">
        <v>431</v>
      </c>
      <c r="E244" s="6">
        <v>2700</v>
      </c>
      <c r="F244" s="18">
        <v>0</v>
      </c>
      <c r="G244" s="18">
        <v>0</v>
      </c>
      <c r="H244" s="18">
        <f>282216.47-0.01</f>
        <v>282216.45999999996</v>
      </c>
      <c r="I244" s="18">
        <v>0</v>
      </c>
      <c r="J244" s="18">
        <v>0</v>
      </c>
      <c r="K244" s="18">
        <v>0</v>
      </c>
      <c r="L244" s="19">
        <f t="shared" si="4"/>
        <v>282216.45999999996</v>
      </c>
      <c r="M244" s="8"/>
      <c r="N244" s="266"/>
    </row>
    <row r="245" spans="1:14" s="3" customFormat="1" ht="12.2" customHeight="1" x14ac:dyDescent="0.15">
      <c r="A245" s="1" t="s">
        <v>449</v>
      </c>
      <c r="B245" s="2" t="s">
        <v>350</v>
      </c>
      <c r="C245" s="2" t="s">
        <v>343</v>
      </c>
      <c r="D245" s="2" t="s">
        <v>431</v>
      </c>
      <c r="E245" s="6">
        <v>2800</v>
      </c>
      <c r="F245" s="18">
        <v>0</v>
      </c>
      <c r="G245" s="18">
        <v>0</v>
      </c>
      <c r="H245" s="18">
        <v>541.14</v>
      </c>
      <c r="I245" s="18">
        <v>0</v>
      </c>
      <c r="J245" s="18">
        <v>0</v>
      </c>
      <c r="K245" s="18">
        <v>0</v>
      </c>
      <c r="L245" s="19">
        <f>SUM(F245:K245)</f>
        <v>541.14</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3452757.4100000006</v>
      </c>
      <c r="G247" s="41">
        <f t="shared" si="5"/>
        <v>1945003.2200000002</v>
      </c>
      <c r="H247" s="41">
        <f t="shared" si="5"/>
        <v>1858392.8800000001</v>
      </c>
      <c r="I247" s="41">
        <f t="shared" si="5"/>
        <v>284600.79000000004</v>
      </c>
      <c r="J247" s="41">
        <f t="shared" si="5"/>
        <v>95057.13</v>
      </c>
      <c r="K247" s="41">
        <f t="shared" si="5"/>
        <v>33370.06</v>
      </c>
      <c r="L247" s="41">
        <f t="shared" si="5"/>
        <v>7669181.4899999993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v>22998.400000000001</v>
      </c>
      <c r="J253" s="18"/>
      <c r="K253" s="18"/>
      <c r="L253" s="19">
        <f t="shared" si="6"/>
        <v>22998.400000000001</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3375</v>
      </c>
      <c r="I255" s="18"/>
      <c r="J255" s="18"/>
      <c r="K255" s="18"/>
      <c r="L255" s="19">
        <f t="shared" si="6"/>
        <v>3375</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3375</v>
      </c>
      <c r="I256" s="41">
        <f t="shared" si="7"/>
        <v>22998.400000000001</v>
      </c>
      <c r="J256" s="41">
        <f t="shared" si="7"/>
        <v>0</v>
      </c>
      <c r="K256" s="41">
        <f t="shared" si="7"/>
        <v>0</v>
      </c>
      <c r="L256" s="41">
        <f>SUM(F256:K256)</f>
        <v>26373.4</v>
      </c>
      <c r="M256" s="8"/>
      <c r="N256" s="266"/>
    </row>
    <row r="257" spans="1:14" s="3" customFormat="1" ht="12.2" customHeight="1" thickTop="1" x14ac:dyDescent="0.15">
      <c r="A257" s="38" t="s">
        <v>462</v>
      </c>
      <c r="B257" s="40">
        <v>10</v>
      </c>
      <c r="C257" s="40">
        <v>8</v>
      </c>
      <c r="D257" s="39" t="s">
        <v>431</v>
      </c>
      <c r="E257" s="40"/>
      <c r="F257" s="41">
        <f t="shared" ref="F257:L257" si="8">F211+F229+F247+F256</f>
        <v>10514165.540000001</v>
      </c>
      <c r="G257" s="41">
        <f t="shared" si="8"/>
        <v>6121403.4299999997</v>
      </c>
      <c r="H257" s="41">
        <f t="shared" si="8"/>
        <v>4293958.37</v>
      </c>
      <c r="I257" s="41">
        <f t="shared" si="8"/>
        <v>843467.82000000018</v>
      </c>
      <c r="J257" s="41">
        <f t="shared" si="8"/>
        <v>202004.86000000002</v>
      </c>
      <c r="K257" s="41">
        <f t="shared" si="8"/>
        <v>51274.46</v>
      </c>
      <c r="L257" s="41">
        <f t="shared" si="8"/>
        <v>22026274.479999997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673499.15</v>
      </c>
      <c r="L260" s="19">
        <f>SUM(F260:K260)</f>
        <v>673499.15</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428603.35</v>
      </c>
      <c r="L261" s="19">
        <f>SUM(F261:K261)</f>
        <v>428603.35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81797.55</v>
      </c>
      <c r="L263" s="19">
        <f>SUM(F263:K263)</f>
        <v>81797.55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285400</v>
      </c>
      <c r="L266" s="19">
        <f t="shared" si="9"/>
        <v>285400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1469300.05</v>
      </c>
      <c r="L270" s="41">
        <f t="shared" si="9"/>
        <v>1469300.05</v>
      </c>
      <c r="N270" s="264"/>
    </row>
    <row r="271" spans="1:14" s="3" customFormat="1" ht="12.2" customHeight="1" thickTop="1" x14ac:dyDescent="0.2">
      <c r="A271" s="43" t="s">
        <v>464</v>
      </c>
      <c r="B271" s="40">
        <v>10</v>
      </c>
      <c r="C271" s="40">
        <v>18</v>
      </c>
      <c r="D271" s="39" t="s">
        <v>431</v>
      </c>
      <c r="E271" s="40"/>
      <c r="F271" s="42">
        <f t="shared" ref="F271:L271" si="11">F257+F270</f>
        <v>10514165.540000001</v>
      </c>
      <c r="G271" s="42">
        <f t="shared" si="11"/>
        <v>6121403.4299999997</v>
      </c>
      <c r="H271" s="42">
        <f t="shared" si="11"/>
        <v>4293958.37</v>
      </c>
      <c r="I271" s="42">
        <f t="shared" si="11"/>
        <v>843467.82000000018</v>
      </c>
      <c r="J271" s="42">
        <f t="shared" si="11"/>
        <v>202004.86000000002</v>
      </c>
      <c r="K271" s="42">
        <f t="shared" si="11"/>
        <v>1520574.51</v>
      </c>
      <c r="L271" s="42">
        <f t="shared" si="11"/>
        <v>23495574.529999997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9380+67145+1680+46190</f>
        <v>124395</v>
      </c>
      <c r="G276" s="18">
        <f>717.38+681+9329.76+427+42+8589.07+11948.12</f>
        <v>31734.33</v>
      </c>
      <c r="H276" s="18">
        <f>3423.89+836.36</f>
        <v>4260.25</v>
      </c>
      <c r="I276" s="18">
        <f>559.4+27.18+95.88+329.44</f>
        <v>1011.8999999999999</v>
      </c>
      <c r="J276" s="18"/>
      <c r="K276" s="18"/>
      <c r="L276" s="19">
        <f>SUM(F276:K276)</f>
        <v>161401.48000000001</v>
      </c>
      <c r="M276" s="8"/>
      <c r="N276" s="266"/>
    </row>
    <row r="277" spans="1:14" s="3" customFormat="1" ht="12.2" customHeight="1" x14ac:dyDescent="0.15">
      <c r="A277" s="1" t="s">
        <v>439</v>
      </c>
      <c r="B277" s="2" t="s">
        <v>357</v>
      </c>
      <c r="C277" s="2" t="s">
        <v>291</v>
      </c>
      <c r="D277" s="2" t="s">
        <v>431</v>
      </c>
      <c r="E277" s="6">
        <v>1200</v>
      </c>
      <c r="F277" s="18">
        <f>36448.94</f>
        <v>36448.94</v>
      </c>
      <c r="G277" s="18">
        <f>9329.76+568.7+35.64+2619.16+6327.64</f>
        <v>18880.900000000001</v>
      </c>
      <c r="H277" s="18">
        <f>39024.5+8619+15246</f>
        <v>62889.5</v>
      </c>
      <c r="I277" s="18">
        <v>280.10000000000002</v>
      </c>
      <c r="J277" s="18"/>
      <c r="K277" s="18"/>
      <c r="L277" s="19">
        <f>SUM(F277:K277)</f>
        <v>118499.44</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27000+11218.5+20024.45+22656</f>
        <v>80898.95</v>
      </c>
      <c r="G279" s="18">
        <f>4455.7+1000+341.25+57.07+52.13+1802.74+3933</f>
        <v>11641.89</v>
      </c>
      <c r="H279" s="18">
        <v>2491.11</v>
      </c>
      <c r="I279" s="18">
        <v>8450.2099999999991</v>
      </c>
      <c r="J279" s="18"/>
      <c r="K279" s="18"/>
      <c r="L279" s="19">
        <f>SUM(F279:K279)</f>
        <v>103482.16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71997*0.4</f>
        <v>28798.800000000003</v>
      </c>
      <c r="G281" s="18">
        <f>(2000+2155.92+126.1+160.94+5649+12498.7)*0.4</f>
        <v>9036.264000000001</v>
      </c>
      <c r="H281" s="18">
        <v>6000</v>
      </c>
      <c r="I281" s="18">
        <v>2700</v>
      </c>
      <c r="J281" s="18"/>
      <c r="K281" s="18"/>
      <c r="L281" s="19">
        <f t="shared" ref="L281:L287" si="12">SUM(F281:K281)</f>
        <v>46535.064000000006</v>
      </c>
      <c r="M281" s="8"/>
      <c r="N281" s="266"/>
    </row>
    <row r="282" spans="1:14" s="3" customFormat="1" ht="12.2" customHeight="1" x14ac:dyDescent="0.15">
      <c r="A282" s="1" t="s">
        <v>443</v>
      </c>
      <c r="B282" s="2" t="s">
        <v>357</v>
      </c>
      <c r="C282" s="2" t="s">
        <v>295</v>
      </c>
      <c r="D282" s="2" t="s">
        <v>431</v>
      </c>
      <c r="E282" s="6">
        <v>2200</v>
      </c>
      <c r="F282" s="18">
        <f>240+840</f>
        <v>1080</v>
      </c>
      <c r="G282" s="18">
        <f>18.37+64.29+41.66+138.84</f>
        <v>263.16000000000003</v>
      </c>
      <c r="H282" s="18">
        <f>520+2200+85.39+1500+330+882+5343.6+5398.4+894.18</f>
        <v>17153.57</v>
      </c>
      <c r="I282" s="18">
        <f>4529+310.24</f>
        <v>4839.24</v>
      </c>
      <c r="J282" s="18"/>
      <c r="K282" s="18"/>
      <c r="L282" s="19">
        <f t="shared" si="12"/>
        <v>23335.97</v>
      </c>
      <c r="M282" s="8"/>
      <c r="N282" s="266"/>
    </row>
    <row r="283" spans="1:14" s="3" customFormat="1" ht="12.2" customHeight="1" x14ac:dyDescent="0.15">
      <c r="A283" s="1" t="s">
        <v>444</v>
      </c>
      <c r="B283" s="2" t="s">
        <v>357</v>
      </c>
      <c r="C283" s="2" t="s">
        <v>296</v>
      </c>
      <c r="D283" s="2" t="s">
        <v>431</v>
      </c>
      <c r="E283" s="6">
        <v>2300</v>
      </c>
      <c r="F283" s="18"/>
      <c r="G283" s="18"/>
      <c r="H283" s="18">
        <v>6570.13</v>
      </c>
      <c r="I283" s="18"/>
      <c r="J283" s="18"/>
      <c r="K283" s="18"/>
      <c r="L283" s="19">
        <f t="shared" si="12"/>
        <v>6570.13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271621.69</v>
      </c>
      <c r="G290" s="42">
        <f t="shared" si="13"/>
        <v>71556.544000000009</v>
      </c>
      <c r="H290" s="42">
        <f t="shared" si="13"/>
        <v>99364.56</v>
      </c>
      <c r="I290" s="42">
        <f t="shared" si="13"/>
        <v>17281.449999999997</v>
      </c>
      <c r="J290" s="42">
        <f t="shared" si="13"/>
        <v>0</v>
      </c>
      <c r="K290" s="42">
        <f t="shared" si="13"/>
        <v>0</v>
      </c>
      <c r="L290" s="41">
        <f t="shared" si="13"/>
        <v>459824.24400000006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3900+58495</f>
        <v>62395</v>
      </c>
      <c r="G295" s="18">
        <f>298.35+4475.02</f>
        <v>4773.3700000000008</v>
      </c>
      <c r="H295" s="18">
        <f>2367.01+627.27+((469.04+2367.45+1000+2044.18+4515.47)/2)</f>
        <v>8192.35</v>
      </c>
      <c r="I295" s="18">
        <f>62.84+983.57+369</f>
        <v>1415.41</v>
      </c>
      <c r="J295" s="18"/>
      <c r="K295" s="18"/>
      <c r="L295" s="19">
        <f>SUM(F295:K295)</f>
        <v>76776.13</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f>12931.19+3563.19+15048.75+22656</f>
        <v>54199.130000000005</v>
      </c>
      <c r="G298" s="18">
        <f>2413.17+1000+341.25+57.07+52.13+1802.74+3933</f>
        <v>9599.36</v>
      </c>
      <c r="H298" s="18">
        <f>2491.11</f>
        <v>2491.11</v>
      </c>
      <c r="I298" s="18">
        <v>8450.2099999999991</v>
      </c>
      <c r="J298" s="18"/>
      <c r="K298" s="18"/>
      <c r="L298" s="19">
        <f>SUM(F298:K298)</f>
        <v>74739.81</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f>(41425.5/2)+(71997*0.3)</f>
        <v>42311.85</v>
      </c>
      <c r="G300" s="18">
        <f>((6912.1+682.5+104.26+95.16+3123.89+4714.31)/2)+((2000+2155.92+126.1+160.94+5649+12498.7)*0.3)</f>
        <v>14593.308000000001</v>
      </c>
      <c r="H300" s="18">
        <v>4372.82</v>
      </c>
      <c r="I300" s="18">
        <f>2236.96+((337.2+606.11+3837.01+2453.86)/2)</f>
        <v>5854.05</v>
      </c>
      <c r="J300" s="18"/>
      <c r="K300" s="18"/>
      <c r="L300" s="19">
        <f t="shared" ref="L300:L306" si="14">SUM(F300:K300)</f>
        <v>67132.027999999991</v>
      </c>
      <c r="M300" s="8"/>
      <c r="N300" s="266"/>
    </row>
    <row r="301" spans="1:14" s="3" customFormat="1" ht="12.2" customHeight="1" x14ac:dyDescent="0.15">
      <c r="A301" s="1" t="s">
        <v>443</v>
      </c>
      <c r="B301" s="2" t="s">
        <v>358</v>
      </c>
      <c r="C301" s="2" t="s">
        <v>295</v>
      </c>
      <c r="D301" s="2" t="s">
        <v>431</v>
      </c>
      <c r="E301" s="6">
        <v>2200</v>
      </c>
      <c r="F301" s="18">
        <f>180+630</f>
        <v>810</v>
      </c>
      <c r="G301" s="18">
        <f>13.78+48.22+31.249+104.13</f>
        <v>197.37899999999999</v>
      </c>
      <c r="H301" s="18">
        <f>14000+247.5+661.5+4007.7+4048.8+670.63</f>
        <v>23636.13</v>
      </c>
      <c r="I301" s="18">
        <f>1616.05+232.68</f>
        <v>1848.73</v>
      </c>
      <c r="J301" s="18"/>
      <c r="K301" s="18"/>
      <c r="L301" s="19">
        <f t="shared" si="14"/>
        <v>26492.239000000001</v>
      </c>
      <c r="M301" s="8"/>
      <c r="N301" s="266"/>
    </row>
    <row r="302" spans="1:14" s="3" customFormat="1" ht="12.2" customHeight="1" x14ac:dyDescent="0.15">
      <c r="A302" s="1" t="s">
        <v>444</v>
      </c>
      <c r="B302" s="2" t="s">
        <v>358</v>
      </c>
      <c r="C302" s="2" t="s">
        <v>296</v>
      </c>
      <c r="D302" s="2" t="s">
        <v>431</v>
      </c>
      <c r="E302" s="6">
        <v>2300</v>
      </c>
      <c r="F302" s="18"/>
      <c r="G302" s="18"/>
      <c r="H302" s="18">
        <v>4927.6000000000004</v>
      </c>
      <c r="I302" s="18"/>
      <c r="J302" s="18"/>
      <c r="K302" s="18"/>
      <c r="L302" s="19">
        <f t="shared" si="14"/>
        <v>4927.6000000000004</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f>56553.6+35440</f>
        <v>91993.600000000006</v>
      </c>
      <c r="K305" s="18"/>
      <c r="L305" s="19">
        <f t="shared" si="14"/>
        <v>91993.600000000006</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159715.98000000001</v>
      </c>
      <c r="G309" s="42">
        <f t="shared" si="15"/>
        <v>29163.417000000001</v>
      </c>
      <c r="H309" s="42">
        <f t="shared" si="15"/>
        <v>43620.01</v>
      </c>
      <c r="I309" s="42">
        <f t="shared" si="15"/>
        <v>17568.399999999998</v>
      </c>
      <c r="J309" s="42">
        <f t="shared" si="15"/>
        <v>91993.600000000006</v>
      </c>
      <c r="K309" s="42">
        <f t="shared" si="15"/>
        <v>0</v>
      </c>
      <c r="L309" s="41">
        <f t="shared" si="15"/>
        <v>342061.40700000001</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f>6216.7+627.27</f>
        <v>6843.9699999999993</v>
      </c>
      <c r="I314" s="18">
        <v>500</v>
      </c>
      <c r="J314" s="18"/>
      <c r="K314" s="18"/>
      <c r="L314" s="19">
        <f>SUM(F314:K314)</f>
        <v>7343.9699999999993</v>
      </c>
      <c r="M314" s="8"/>
      <c r="N314" s="266"/>
    </row>
    <row r="315" spans="1:14" s="3" customFormat="1" ht="12.2" customHeight="1" x14ac:dyDescent="0.15">
      <c r="A315" s="1" t="s">
        <v>439</v>
      </c>
      <c r="B315" s="2" t="s">
        <v>359</v>
      </c>
      <c r="C315" s="2" t="s">
        <v>291</v>
      </c>
      <c r="D315" s="2" t="s">
        <v>431</v>
      </c>
      <c r="E315" s="6">
        <v>1200</v>
      </c>
      <c r="F315" s="18">
        <f>43706.96+46414.32</f>
        <v>90121.279999999999</v>
      </c>
      <c r="G315" s="18">
        <f>9329.76+568.7+42.02+3251.66+7587.58+6336+625.68+95+97.92+3355.98+8057.52</f>
        <v>39347.82</v>
      </c>
      <c r="H315" s="18">
        <v>2137.5</v>
      </c>
      <c r="I315" s="18"/>
      <c r="J315" s="18"/>
      <c r="K315" s="18"/>
      <c r="L315" s="19">
        <f>SUM(F315:K315)</f>
        <v>131606.6</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(41425.5/2)+(71997*0.3)</f>
        <v>42311.85</v>
      </c>
      <c r="G319" s="18">
        <f>((6912.1+682.5+104.26+95.16+3123.89+4714.31)/2)+((2000+2155.92+126.1+160.94+5649+12498.7)*0.3)</f>
        <v>14593.308000000001</v>
      </c>
      <c r="H319" s="18">
        <f>8831.89+((469.04+2367.45+1000+2044.18+4515.47)/2)</f>
        <v>14029.96</v>
      </c>
      <c r="I319" s="18">
        <f>2688.34+((337.2+606.11+3837.01+2453.86)/2)-0.01</f>
        <v>6305.42</v>
      </c>
      <c r="J319" s="18"/>
      <c r="K319" s="18"/>
      <c r="L319" s="19">
        <f t="shared" ref="L319:L325" si="16">SUM(F319:K319)</f>
        <v>77240.537999999986</v>
      </c>
      <c r="M319" s="8"/>
      <c r="N319" s="266"/>
    </row>
    <row r="320" spans="1:14" s="3" customFormat="1" ht="12.2" customHeight="1" x14ac:dyDescent="0.15">
      <c r="A320" s="1" t="s">
        <v>443</v>
      </c>
      <c r="B320" s="2" t="s">
        <v>359</v>
      </c>
      <c r="C320" s="2" t="s">
        <v>295</v>
      </c>
      <c r="D320" s="2" t="s">
        <v>431</v>
      </c>
      <c r="E320" s="6">
        <v>2200</v>
      </c>
      <c r="F320" s="18">
        <f>180+630</f>
        <v>810</v>
      </c>
      <c r="G320" s="18">
        <f>13.78+48.22+31.25+104.13</f>
        <v>197.38</v>
      </c>
      <c r="H320" s="18">
        <f>850+247.5+661.5+4007.7+4048.8+670.63</f>
        <v>10486.13</v>
      </c>
      <c r="I320" s="18">
        <f>43+232.68</f>
        <v>275.68</v>
      </c>
      <c r="J320" s="18"/>
      <c r="K320" s="18"/>
      <c r="L320" s="19">
        <f t="shared" si="16"/>
        <v>11769.189999999999</v>
      </c>
      <c r="M320" s="8"/>
      <c r="N320" s="266"/>
    </row>
    <row r="321" spans="1:14" s="3" customFormat="1" ht="12.2" customHeight="1" x14ac:dyDescent="0.15">
      <c r="A321" s="1" t="s">
        <v>444</v>
      </c>
      <c r="B321" s="2" t="s">
        <v>359</v>
      </c>
      <c r="C321" s="2" t="s">
        <v>296</v>
      </c>
      <c r="D321" s="2" t="s">
        <v>431</v>
      </c>
      <c r="E321" s="6">
        <v>2300</v>
      </c>
      <c r="F321" s="18"/>
      <c r="G321" s="18"/>
      <c r="H321" s="18">
        <v>4927.6000000000004</v>
      </c>
      <c r="I321" s="18"/>
      <c r="J321" s="18"/>
      <c r="K321" s="18"/>
      <c r="L321" s="19">
        <f t="shared" si="16"/>
        <v>4927.6000000000004</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133243.13</v>
      </c>
      <c r="G328" s="42">
        <f t="shared" si="17"/>
        <v>54138.507999999994</v>
      </c>
      <c r="H328" s="42">
        <f t="shared" si="17"/>
        <v>38425.159999999996</v>
      </c>
      <c r="I328" s="42">
        <f t="shared" si="17"/>
        <v>7081.1</v>
      </c>
      <c r="J328" s="42">
        <f t="shared" si="17"/>
        <v>0</v>
      </c>
      <c r="K328" s="42">
        <f t="shared" si="17"/>
        <v>0</v>
      </c>
      <c r="L328" s="41">
        <f t="shared" si="17"/>
        <v>232887.89800000002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564580.80000000005</v>
      </c>
      <c r="G338" s="41">
        <f t="shared" si="20"/>
        <v>154858.46900000001</v>
      </c>
      <c r="H338" s="41">
        <f t="shared" si="20"/>
        <v>181409.73</v>
      </c>
      <c r="I338" s="41">
        <f t="shared" si="20"/>
        <v>41930.94999999999</v>
      </c>
      <c r="J338" s="41">
        <f t="shared" si="20"/>
        <v>91993.600000000006</v>
      </c>
      <c r="K338" s="41">
        <f t="shared" si="20"/>
        <v>0</v>
      </c>
      <c r="L338" s="41">
        <f t="shared" si="20"/>
        <v>1034773.5490000001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f>89.99+469.36+5287.14+234.32+237.83+3222.75+7619.45+1631.11+0.1</f>
        <v>18792.05</v>
      </c>
      <c r="L344" s="19">
        <f t="shared" ref="L344:L350" si="21">SUM(F344:K344)</f>
        <v>18792.05</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18792.05</v>
      </c>
      <c r="L351" s="41">
        <f>SUM(L341:L350)</f>
        <v>18792.05</v>
      </c>
      <c r="M351" s="8"/>
      <c r="N351" s="266"/>
    </row>
    <row r="352" spans="1:43" s="12" customFormat="1" ht="12.2" customHeight="1" thickTop="1" thickBot="1" x14ac:dyDescent="0.25">
      <c r="A352" s="38" t="s">
        <v>469</v>
      </c>
      <c r="B352" s="40">
        <v>14</v>
      </c>
      <c r="C352" s="40">
        <v>17</v>
      </c>
      <c r="D352" s="39" t="s">
        <v>431</v>
      </c>
      <c r="E352" s="40"/>
      <c r="F352" s="41">
        <f>F338</f>
        <v>564580.80000000005</v>
      </c>
      <c r="G352" s="41">
        <f>G338</f>
        <v>154858.46900000001</v>
      </c>
      <c r="H352" s="41">
        <f>H338</f>
        <v>181409.73</v>
      </c>
      <c r="I352" s="41">
        <f>I338</f>
        <v>41930.94999999999</v>
      </c>
      <c r="J352" s="41">
        <f>J338</f>
        <v>91993.600000000006</v>
      </c>
      <c r="K352" s="47">
        <f>K338+K351</f>
        <v>18792.05</v>
      </c>
      <c r="L352" s="41">
        <f>L338+L351</f>
        <v>1053565.5990000002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88241.54</v>
      </c>
      <c r="G358" s="18">
        <v>23247.01</v>
      </c>
      <c r="H358" s="18">
        <v>2430.31</v>
      </c>
      <c r="I358" s="18">
        <v>66094.5</v>
      </c>
      <c r="J358" s="18">
        <v>285.77999999999997</v>
      </c>
      <c r="K358" s="18">
        <v>582.88</v>
      </c>
      <c r="L358" s="13">
        <f>SUM(F358:K358)</f>
        <v>180882.02</v>
      </c>
      <c r="N358" s="264"/>
      <c r="R358" s="3"/>
      <c r="S358" s="3"/>
      <c r="T358" s="3"/>
      <c r="U358" s="3"/>
      <c r="V358" s="3"/>
    </row>
    <row r="359" spans="1:22" s="3" customFormat="1" ht="12.2" customHeight="1" x14ac:dyDescent="0.15">
      <c r="A359" s="1" t="s">
        <v>542</v>
      </c>
      <c r="B359" s="2" t="s">
        <v>366</v>
      </c>
      <c r="C359" s="6">
        <v>2</v>
      </c>
      <c r="D359" s="2" t="s">
        <v>431</v>
      </c>
      <c r="E359" s="6"/>
      <c r="F359" s="18">
        <v>74573.02</v>
      </c>
      <c r="G359" s="18">
        <v>45623.46</v>
      </c>
      <c r="H359" s="18">
        <v>4619.6099999999997</v>
      </c>
      <c r="I359" s="18">
        <v>58200.87</v>
      </c>
      <c r="J359" s="18">
        <v>386.88</v>
      </c>
      <c r="K359" s="18">
        <v>437.16</v>
      </c>
      <c r="L359" s="19">
        <f>SUM(F359:K359)</f>
        <v>183841.00000000003</v>
      </c>
      <c r="M359" s="8"/>
      <c r="N359" s="266"/>
    </row>
    <row r="360" spans="1:22" s="3" customFormat="1" ht="12.2" customHeight="1" x14ac:dyDescent="0.15">
      <c r="A360" s="3" t="s">
        <v>543</v>
      </c>
      <c r="B360" s="2" t="s">
        <v>366</v>
      </c>
      <c r="C360" s="6">
        <v>3</v>
      </c>
      <c r="D360" s="2" t="s">
        <v>431</v>
      </c>
      <c r="E360" s="6"/>
      <c r="F360" s="18">
        <f>86278.56+0.01</f>
        <v>86278.569999999992</v>
      </c>
      <c r="G360" s="18">
        <f>35762.93-0.01</f>
        <v>35762.92</v>
      </c>
      <c r="H360" s="18">
        <v>5181.1899999999996</v>
      </c>
      <c r="I360" s="18">
        <v>62582.93</v>
      </c>
      <c r="J360" s="18">
        <v>2925.48</v>
      </c>
      <c r="K360" s="18">
        <f>437.16+0.01</f>
        <v>437.17</v>
      </c>
      <c r="L360" s="19">
        <f>SUM(F360:K360)</f>
        <v>193168.26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249093.13</v>
      </c>
      <c r="G362" s="47">
        <f t="shared" si="22"/>
        <v>104633.39</v>
      </c>
      <c r="H362" s="47">
        <f t="shared" si="22"/>
        <v>12231.11</v>
      </c>
      <c r="I362" s="47">
        <f t="shared" si="22"/>
        <v>186878.3</v>
      </c>
      <c r="J362" s="47">
        <f t="shared" si="22"/>
        <v>3598.14</v>
      </c>
      <c r="K362" s="47">
        <f t="shared" si="22"/>
        <v>1457.21</v>
      </c>
      <c r="L362" s="47">
        <f t="shared" si="22"/>
        <v>557891.28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58072.959999999999</v>
      </c>
      <c r="G367" s="18">
        <v>51353.32</v>
      </c>
      <c r="H367" s="18">
        <v>54476.86</v>
      </c>
      <c r="I367" s="56">
        <f>SUM(F367:H367)</f>
        <v>163903.14000000001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66094.5-58072.96</f>
        <v>8021.5400000000009</v>
      </c>
      <c r="G368" s="63">
        <f>58200.87-51353.32</f>
        <v>6847.5500000000029</v>
      </c>
      <c r="H368" s="63">
        <f>62582.93-54476.86</f>
        <v>8106.07</v>
      </c>
      <c r="I368" s="56">
        <f>SUM(F368:H368)</f>
        <v>22975.160000000003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66094.5</v>
      </c>
      <c r="G369" s="47">
        <f>SUM(G367:G368)</f>
        <v>58200.87</v>
      </c>
      <c r="H369" s="47">
        <f>SUM(H367:H368)</f>
        <v>62582.93</v>
      </c>
      <c r="I369" s="47">
        <f>SUM(I367:I368)</f>
        <v>186878.30000000002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252544</v>
      </c>
      <c r="H396" s="18">
        <v>30692.3</v>
      </c>
      <c r="I396" s="18"/>
      <c r="J396" s="24" t="s">
        <v>288</v>
      </c>
      <c r="K396" s="24" t="s">
        <v>288</v>
      </c>
      <c r="L396" s="56">
        <f t="shared" si="26"/>
        <v>283236.3</v>
      </c>
      <c r="M396" s="8"/>
      <c r="N396" s="266"/>
    </row>
    <row r="397" spans="1:14" s="3" customFormat="1" ht="12.2" customHeight="1" x14ac:dyDescent="0.15">
      <c r="A397" s="79" t="s">
        <v>515</v>
      </c>
      <c r="B397" s="2" t="s">
        <v>381</v>
      </c>
      <c r="C397" s="6">
        <v>10</v>
      </c>
      <c r="D397" s="2" t="s">
        <v>432</v>
      </c>
      <c r="E397" s="6"/>
      <c r="F397" s="18"/>
      <c r="G397" s="18"/>
      <c r="H397" s="18">
        <v>10329.85</v>
      </c>
      <c r="I397" s="18"/>
      <c r="J397" s="24" t="s">
        <v>288</v>
      </c>
      <c r="K397" s="24" t="s">
        <v>288</v>
      </c>
      <c r="L397" s="56">
        <f t="shared" si="26"/>
        <v>10329.85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13142</v>
      </c>
      <c r="H399" s="18">
        <v>3234.18</v>
      </c>
      <c r="I399" s="18"/>
      <c r="J399" s="24" t="s">
        <v>288</v>
      </c>
      <c r="K399" s="24" t="s">
        <v>288</v>
      </c>
      <c r="L399" s="56">
        <f t="shared" si="26"/>
        <v>16376.18</v>
      </c>
      <c r="M399" s="8"/>
      <c r="N399" s="266"/>
    </row>
    <row r="400" spans="1:14" s="3" customFormat="1" ht="12.2" customHeight="1" thickBot="1" x14ac:dyDescent="0.2">
      <c r="A400" s="79" t="s">
        <v>510</v>
      </c>
      <c r="B400" s="2" t="s">
        <v>381</v>
      </c>
      <c r="C400" s="6">
        <v>13</v>
      </c>
      <c r="D400" s="2" t="s">
        <v>432</v>
      </c>
      <c r="E400" s="6"/>
      <c r="F400" s="18"/>
      <c r="G400" s="18">
        <v>19714</v>
      </c>
      <c r="H400" s="18">
        <f>63.59+2658.1</f>
        <v>2721.69</v>
      </c>
      <c r="I400" s="18"/>
      <c r="J400" s="24" t="s">
        <v>288</v>
      </c>
      <c r="K400" s="24" t="s">
        <v>288</v>
      </c>
      <c r="L400" s="56">
        <f t="shared" si="26"/>
        <v>22435.69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285400</v>
      </c>
      <c r="H401" s="47">
        <f>SUM(H395:H400)</f>
        <v>46978.020000000004</v>
      </c>
      <c r="I401" s="47">
        <f>SUM(I395:I400)</f>
        <v>0</v>
      </c>
      <c r="J401" s="45" t="s">
        <v>288</v>
      </c>
      <c r="K401" s="45" t="s">
        <v>288</v>
      </c>
      <c r="L401" s="47">
        <f>SUM(L395:L400)</f>
        <v>332378.01999999996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1614</v>
      </c>
      <c r="B403" s="2" t="s">
        <v>381</v>
      </c>
      <c r="C403" s="6">
        <v>15</v>
      </c>
      <c r="D403" s="2" t="s">
        <v>432</v>
      </c>
      <c r="E403" s="6"/>
      <c r="F403" s="18"/>
      <c r="G403" s="18"/>
      <c r="H403" s="18">
        <v>2702.64</v>
      </c>
      <c r="I403" s="18"/>
      <c r="J403" s="24" t="s">
        <v>288</v>
      </c>
      <c r="K403" s="24" t="s">
        <v>288</v>
      </c>
      <c r="L403" s="56">
        <f>SUM(F403:K403)</f>
        <v>2702.64</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2702.64</v>
      </c>
      <c r="I407" s="47">
        <f>SUM(I403:I406)</f>
        <v>0</v>
      </c>
      <c r="J407" s="49" t="s">
        <v>288</v>
      </c>
      <c r="K407" s="49" t="s">
        <v>288</v>
      </c>
      <c r="L407" s="47">
        <f>SUM(L403:L406)</f>
        <v>2702.64</v>
      </c>
      <c r="M407" s="8"/>
      <c r="N407" s="266"/>
    </row>
    <row r="408" spans="1:21" s="3" customFormat="1" ht="12.2" customHeight="1" thickTop="1" x14ac:dyDescent="0.15">
      <c r="A408" s="78" t="s">
        <v>421</v>
      </c>
      <c r="B408" s="2" t="s">
        <v>381</v>
      </c>
      <c r="C408" s="6">
        <v>20</v>
      </c>
      <c r="D408" s="6"/>
      <c r="E408" s="40"/>
      <c r="F408" s="47">
        <f>F393+F401+F407</f>
        <v>0</v>
      </c>
      <c r="G408" s="47">
        <f>G393+G401+G407</f>
        <v>285400</v>
      </c>
      <c r="H408" s="47">
        <f>H393+H401+H407</f>
        <v>49680.66</v>
      </c>
      <c r="I408" s="47">
        <f>I393+I401+I407</f>
        <v>0</v>
      </c>
      <c r="J408" s="24" t="s">
        <v>288</v>
      </c>
      <c r="K408" s="24" t="s">
        <v>288</v>
      </c>
      <c r="L408" s="47">
        <f>L393+L401+L407</f>
        <v>335080.65999999997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v>207069.61</v>
      </c>
      <c r="K422" s="18"/>
      <c r="L422" s="56">
        <f t="shared" si="29"/>
        <v>207069.61</v>
      </c>
      <c r="M422" s="8"/>
      <c r="N422" s="266"/>
    </row>
    <row r="423" spans="1:21" s="3" customFormat="1" ht="12.2" customHeight="1" x14ac:dyDescent="0.15">
      <c r="A423" s="79" t="s">
        <v>515</v>
      </c>
      <c r="B423" s="6">
        <v>17</v>
      </c>
      <c r="C423" s="6">
        <v>10</v>
      </c>
      <c r="D423" s="2" t="s">
        <v>432</v>
      </c>
      <c r="E423" s="6"/>
      <c r="F423" s="18"/>
      <c r="G423" s="18"/>
      <c r="H423" s="18"/>
      <c r="I423" s="18"/>
      <c r="J423" s="18">
        <v>0</v>
      </c>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v>12500</v>
      </c>
      <c r="K425" s="18"/>
      <c r="L425" s="56">
        <f t="shared" si="29"/>
        <v>12500</v>
      </c>
      <c r="M425" s="8"/>
      <c r="N425" s="266"/>
    </row>
    <row r="426" spans="1:21" s="3" customFormat="1" ht="12.2" customHeight="1" thickBot="1" x14ac:dyDescent="0.2">
      <c r="A426" s="79" t="s">
        <v>510</v>
      </c>
      <c r="B426" s="6">
        <v>17</v>
      </c>
      <c r="C426" s="6">
        <v>13</v>
      </c>
      <c r="D426" s="2" t="s">
        <v>432</v>
      </c>
      <c r="E426" s="6"/>
      <c r="F426" s="18"/>
      <c r="G426" s="18"/>
      <c r="H426" s="18"/>
      <c r="I426" s="18"/>
      <c r="J426" s="18">
        <f>15458.29+0</f>
        <v>15458.29</v>
      </c>
      <c r="K426" s="18"/>
      <c r="L426" s="56">
        <f t="shared" si="29"/>
        <v>15458.29</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235027.9</v>
      </c>
      <c r="K427" s="47">
        <f t="shared" si="30"/>
        <v>0</v>
      </c>
      <c r="L427" s="47">
        <f t="shared" si="30"/>
        <v>235027.9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235027.9</v>
      </c>
      <c r="K434" s="47">
        <f t="shared" si="32"/>
        <v>0</v>
      </c>
      <c r="L434" s="47">
        <f t="shared" si="32"/>
        <v>235027.9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636487.58+194196.12</f>
        <v>830683.7</v>
      </c>
      <c r="G440" s="18"/>
      <c r="H440" s="18">
        <v>60209.39</v>
      </c>
      <c r="I440" s="56">
        <f t="shared" si="33"/>
        <v>890893.09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830683.7</v>
      </c>
      <c r="G446" s="13">
        <f>SUM(G439:G445)</f>
        <v>0</v>
      </c>
      <c r="H446" s="13">
        <f>SUM(H439:H445)</f>
        <v>60209.39</v>
      </c>
      <c r="I446" s="13">
        <f>SUM(I439:I445)</f>
        <v>890893.09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830683.7</v>
      </c>
      <c r="G459" s="18"/>
      <c r="H459" s="18">
        <v>60209.39</v>
      </c>
      <c r="I459" s="56">
        <f t="shared" si="34"/>
        <v>890893.09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830683.7</v>
      </c>
      <c r="G460" s="83">
        <f>SUM(G454:G459)</f>
        <v>0</v>
      </c>
      <c r="H460" s="83">
        <f>SUM(H454:H459)</f>
        <v>60209.39</v>
      </c>
      <c r="I460" s="83">
        <f>SUM(I454:I459)</f>
        <v>890893.09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830683.7</v>
      </c>
      <c r="G461" s="42">
        <f>G452+G460</f>
        <v>0</v>
      </c>
      <c r="H461" s="42">
        <f>H452+H460</f>
        <v>60209.39</v>
      </c>
      <c r="I461" s="42">
        <f>I452+I460</f>
        <v>890893.09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445952.89</v>
      </c>
      <c r="G465" s="18">
        <v>0</v>
      </c>
      <c r="H465" s="18">
        <v>0</v>
      </c>
      <c r="I465" s="18"/>
      <c r="J465" s="18">
        <v>790840.33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23636676.960000001</v>
      </c>
      <c r="G468" s="18">
        <v>557891.28</v>
      </c>
      <c r="H468" s="18">
        <v>1053565.6000000001</v>
      </c>
      <c r="I468" s="18"/>
      <c r="J468" s="18">
        <f>285400+49680.66</f>
        <v>335080.66000000003</v>
      </c>
      <c r="K468" s="24" t="s">
        <v>288</v>
      </c>
      <c r="L468" s="24" t="s">
        <v>288</v>
      </c>
      <c r="N468" s="265"/>
    </row>
    <row r="469" spans="1:14" s="52" customFormat="1" ht="12.2" customHeight="1" x14ac:dyDescent="0.2">
      <c r="A469" s="93" t="s">
        <v>611</v>
      </c>
      <c r="B469" s="75">
        <v>19</v>
      </c>
      <c r="C469" s="80">
        <v>3</v>
      </c>
      <c r="D469" s="2" t="s">
        <v>432</v>
      </c>
      <c r="E469" s="80"/>
      <c r="F469" s="18"/>
      <c r="G469" s="18"/>
      <c r="H469" s="18">
        <v>0</v>
      </c>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23636676.960000001</v>
      </c>
      <c r="G470" s="53">
        <f>SUM(G468:G469)</f>
        <v>557891.28</v>
      </c>
      <c r="H470" s="53">
        <f>SUM(H468:H469)</f>
        <v>1053565.6000000001</v>
      </c>
      <c r="I470" s="53">
        <f>SUM(I468:I469)</f>
        <v>0</v>
      </c>
      <c r="J470" s="53">
        <f>SUM(J468:J469)</f>
        <v>335080.66000000003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23128373+81798+285400+3.53</f>
        <v>23495574.530000001</v>
      </c>
      <c r="G472" s="18">
        <v>557891.28</v>
      </c>
      <c r="H472" s="18">
        <v>1053565.6000000001</v>
      </c>
      <c r="I472" s="18"/>
      <c r="J472" s="18">
        <f>235027.9</f>
        <v>235027.9</v>
      </c>
      <c r="K472" s="24" t="s">
        <v>288</v>
      </c>
      <c r="L472" s="24" t="s">
        <v>288</v>
      </c>
      <c r="N472" s="265"/>
    </row>
    <row r="473" spans="1:14" s="52" customFormat="1" ht="12.2" customHeight="1" x14ac:dyDescent="0.2">
      <c r="A473" s="93" t="s">
        <v>613</v>
      </c>
      <c r="B473" s="75">
        <v>19</v>
      </c>
      <c r="C473" s="80">
        <v>6</v>
      </c>
      <c r="D473" s="2" t="s">
        <v>432</v>
      </c>
      <c r="E473" s="80"/>
      <c r="F473" s="18"/>
      <c r="G473" s="18"/>
      <c r="H473" s="18">
        <v>0</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23495574.530000001</v>
      </c>
      <c r="G474" s="53">
        <f>SUM(G472:G473)</f>
        <v>557891.28</v>
      </c>
      <c r="H474" s="53">
        <f>SUM(H472:H473)</f>
        <v>1053565.6000000001</v>
      </c>
      <c r="I474" s="53">
        <f>SUM(I472:I473)</f>
        <v>0</v>
      </c>
      <c r="J474" s="53">
        <f>SUM(J472:J473)</f>
        <v>235027.9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587055.3200000003</v>
      </c>
      <c r="G476" s="53">
        <f>(G465+G470)- G474</f>
        <v>0</v>
      </c>
      <c r="H476" s="53">
        <f>(H465+H470)- H474</f>
        <v>0</v>
      </c>
      <c r="I476" s="53">
        <f>(I465+I470)- I474</f>
        <v>0</v>
      </c>
      <c r="J476" s="53">
        <f>(J465+J470)- J474</f>
        <v>890893.09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10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t="s">
        <v>1613</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13402490</v>
      </c>
      <c r="G493" s="18">
        <v>1060000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4.12</v>
      </c>
      <c r="G494" s="18">
        <v>5.0999999999999996</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3878686.05</v>
      </c>
      <c r="G495" s="18">
        <v>735000</v>
      </c>
      <c r="H495" s="18"/>
      <c r="I495" s="18"/>
      <c r="J495" s="18"/>
      <c r="K495" s="53">
        <f>SUM(F495:J495)</f>
        <v>4613686.05</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f>496155.97+72343.18</f>
        <v>568499.14999999991</v>
      </c>
      <c r="G497" s="18">
        <v>105000</v>
      </c>
      <c r="H497" s="18"/>
      <c r="I497" s="18"/>
      <c r="J497" s="18"/>
      <c r="K497" s="53">
        <f t="shared" si="35"/>
        <v>673499.14999999991</v>
      </c>
      <c r="L497" s="24" t="s">
        <v>288</v>
      </c>
      <c r="N497" s="265"/>
    </row>
    <row r="498" spans="1:14" s="52" customFormat="1" ht="12.2" customHeight="1" x14ac:dyDescent="0.2">
      <c r="A498" s="200" t="s">
        <v>622</v>
      </c>
      <c r="B498" s="201">
        <v>20</v>
      </c>
      <c r="C498" s="202">
        <v>9</v>
      </c>
      <c r="D498" s="203" t="s">
        <v>432</v>
      </c>
      <c r="E498" s="202"/>
      <c r="F498" s="204">
        <f>F495-F497</f>
        <v>3310186.9</v>
      </c>
      <c r="G498" s="204">
        <v>630000</v>
      </c>
      <c r="H498" s="204"/>
      <c r="I498" s="204"/>
      <c r="J498" s="204"/>
      <c r="K498" s="205">
        <f t="shared" si="35"/>
        <v>3940186.9</v>
      </c>
      <c r="L498" s="206" t="s">
        <v>288</v>
      </c>
      <c r="N498" s="265"/>
    </row>
    <row r="499" spans="1:14" s="52" customFormat="1" ht="12.2" customHeight="1" thickBot="1" x14ac:dyDescent="0.25">
      <c r="A499" s="22" t="s">
        <v>623</v>
      </c>
      <c r="B499" s="75">
        <v>20</v>
      </c>
      <c r="C499" s="115">
        <v>10</v>
      </c>
      <c r="D499" s="2" t="s">
        <v>432</v>
      </c>
      <c r="E499" s="115"/>
      <c r="F499" s="18">
        <f>3885753.95-333826.53-59969.32</f>
        <v>3491958.1</v>
      </c>
      <c r="G499" s="18">
        <f>131197.5-18742.5-16065</f>
        <v>96390</v>
      </c>
      <c r="H499" s="18"/>
      <c r="I499" s="18"/>
      <c r="J499" s="18"/>
      <c r="K499" s="53">
        <f t="shared" si="35"/>
        <v>3588348.1</v>
      </c>
      <c r="L499" s="24" t="s">
        <v>288</v>
      </c>
      <c r="N499" s="265"/>
    </row>
    <row r="500" spans="1:14" s="52" customFormat="1" ht="12.2" customHeight="1" thickTop="1" x14ac:dyDescent="0.2">
      <c r="A500" s="139" t="s">
        <v>624</v>
      </c>
      <c r="B500" s="44">
        <v>20</v>
      </c>
      <c r="C500" s="195">
        <v>11</v>
      </c>
      <c r="D500" s="39" t="s">
        <v>432</v>
      </c>
      <c r="E500" s="195"/>
      <c r="F500" s="42">
        <f>SUM(F498:F499)</f>
        <v>6802145</v>
      </c>
      <c r="G500" s="42">
        <f>SUM(G498:G499)</f>
        <v>726390</v>
      </c>
      <c r="H500" s="42">
        <f>SUM(H498:H499)</f>
        <v>0</v>
      </c>
      <c r="I500" s="42">
        <f>SUM(I498:I499)</f>
        <v>0</v>
      </c>
      <c r="J500" s="42">
        <f>SUM(J498:J499)</f>
        <v>0</v>
      </c>
      <c r="K500" s="42">
        <f t="shared" si="35"/>
        <v>7528535</v>
      </c>
      <c r="L500" s="45" t="s">
        <v>288</v>
      </c>
      <c r="N500" s="265"/>
    </row>
    <row r="501" spans="1:14" s="52" customFormat="1" ht="12.2" customHeight="1" x14ac:dyDescent="0.2">
      <c r="A501" s="200" t="s">
        <v>651</v>
      </c>
      <c r="B501" s="201">
        <v>20</v>
      </c>
      <c r="C501" s="202">
        <v>12</v>
      </c>
      <c r="D501" s="203" t="s">
        <v>432</v>
      </c>
      <c r="E501" s="202"/>
      <c r="F501" s="204">
        <f>482493.56+60888.89</f>
        <v>543382.44999999995</v>
      </c>
      <c r="G501" s="204">
        <v>105000</v>
      </c>
      <c r="H501" s="204"/>
      <c r="I501" s="204"/>
      <c r="J501" s="204"/>
      <c r="K501" s="205">
        <f t="shared" si="35"/>
        <v>648382.44999999995</v>
      </c>
      <c r="L501" s="206" t="s">
        <v>288</v>
      </c>
      <c r="N501" s="265"/>
    </row>
    <row r="502" spans="1:14" s="52" customFormat="1" ht="12.2" customHeight="1" thickBot="1" x14ac:dyDescent="0.25">
      <c r="A502" s="22" t="s">
        <v>625</v>
      </c>
      <c r="B502" s="75">
        <v>20</v>
      </c>
      <c r="C502" s="115">
        <v>13</v>
      </c>
      <c r="D502" s="2" t="s">
        <v>432</v>
      </c>
      <c r="E502" s="115"/>
      <c r="F502" s="18">
        <f>362318.94+55542.36</f>
        <v>417861.3</v>
      </c>
      <c r="G502" s="18">
        <f>16065+13387.5</f>
        <v>29452.5</v>
      </c>
      <c r="H502" s="18"/>
      <c r="I502" s="18"/>
      <c r="J502" s="18"/>
      <c r="K502" s="53">
        <f t="shared" si="35"/>
        <v>447313.8</v>
      </c>
      <c r="L502" s="24" t="s">
        <v>288</v>
      </c>
      <c r="N502" s="265"/>
    </row>
    <row r="503" spans="1:14" s="52" customFormat="1" ht="12.2" customHeight="1" thickTop="1" x14ac:dyDescent="0.2">
      <c r="A503" s="139" t="s">
        <v>626</v>
      </c>
      <c r="B503" s="44">
        <v>20</v>
      </c>
      <c r="C503" s="195">
        <v>14</v>
      </c>
      <c r="D503" s="39" t="s">
        <v>432</v>
      </c>
      <c r="E503" s="195"/>
      <c r="F503" s="42">
        <f>SUM(F501:F502)</f>
        <v>961243.75</v>
      </c>
      <c r="G503" s="42">
        <f>SUM(G501:G502)</f>
        <v>134452.5</v>
      </c>
      <c r="H503" s="42">
        <f>SUM(H501:H502)</f>
        <v>0</v>
      </c>
      <c r="I503" s="42">
        <f>SUM(I501:I502)</f>
        <v>0</v>
      </c>
      <c r="J503" s="42">
        <f>SUM(J501:J502)</f>
        <v>0</v>
      </c>
      <c r="K503" s="42">
        <f t="shared" si="35"/>
        <v>1095696.25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746199.65-13819+36448.94</f>
        <v>768829.59000000008</v>
      </c>
      <c r="G521" s="18">
        <f>675743.45-1826.44+18880.9</f>
        <v>692797.91</v>
      </c>
      <c r="H521" s="18">
        <f>576789.54-5718.85+60840.62+8619</f>
        <v>640530.31000000006</v>
      </c>
      <c r="I521" s="18">
        <f>3797.42+280.11</f>
        <v>4077.53</v>
      </c>
      <c r="J521" s="18">
        <v>353.34</v>
      </c>
      <c r="K521" s="18">
        <v>4898.72</v>
      </c>
      <c r="L521" s="88">
        <f>SUM(F521:K521)</f>
        <v>2111487.4</v>
      </c>
      <c r="N521" s="265"/>
    </row>
    <row r="522" spans="1:14" s="52" customFormat="1" ht="12.2" customHeight="1" x14ac:dyDescent="0.2">
      <c r="A522" s="22" t="s">
        <v>634</v>
      </c>
      <c r="B522" s="105">
        <v>21</v>
      </c>
      <c r="C522" s="115">
        <v>2</v>
      </c>
      <c r="D522" s="2" t="s">
        <v>432</v>
      </c>
      <c r="E522" s="115"/>
      <c r="F522" s="18">
        <f>568630.93-10364.25</f>
        <v>558266.68000000005</v>
      </c>
      <c r="G522" s="18">
        <f>506995.71-1369.83</f>
        <v>505625.88</v>
      </c>
      <c r="H522" s="18">
        <f>578593.28-4289.15+4927.6</f>
        <v>579231.73</v>
      </c>
      <c r="I522" s="18">
        <f>1642.53</f>
        <v>1642.53</v>
      </c>
      <c r="J522" s="18">
        <v>0</v>
      </c>
      <c r="K522" s="18">
        <v>3674.02</v>
      </c>
      <c r="L522" s="88">
        <f>SUM(F522:K522)</f>
        <v>1648440.84</v>
      </c>
      <c r="N522" s="265"/>
    </row>
    <row r="523" spans="1:14" s="52" customFormat="1" ht="12.2" customHeight="1" thickBot="1" x14ac:dyDescent="0.25">
      <c r="A523" s="22" t="s">
        <v>635</v>
      </c>
      <c r="B523" s="105">
        <v>21</v>
      </c>
      <c r="C523" s="115">
        <v>3</v>
      </c>
      <c r="D523" s="2" t="s">
        <v>432</v>
      </c>
      <c r="E523" s="115"/>
      <c r="F523" s="18">
        <f>562373.69-10364.25+90121.28</f>
        <v>642130.72</v>
      </c>
      <c r="G523" s="18">
        <f>448205.5-1369.83+39347.82</f>
        <v>486183.49</v>
      </c>
      <c r="H523" s="18">
        <f>1101930.37-4289.15+4927.59</f>
        <v>1102568.8100000003</v>
      </c>
      <c r="I523" s="18">
        <v>2103.61</v>
      </c>
      <c r="J523" s="18">
        <v>1825</v>
      </c>
      <c r="K523" s="18">
        <v>3674.02</v>
      </c>
      <c r="L523" s="88">
        <f>SUM(F523:K523)</f>
        <v>2238485.6500000004</v>
      </c>
      <c r="N523" s="265"/>
    </row>
    <row r="524" spans="1:14" s="52" customFormat="1" ht="12.2" customHeight="1" thickTop="1" x14ac:dyDescent="0.2">
      <c r="A524" s="139" t="s">
        <v>63</v>
      </c>
      <c r="B524" s="107">
        <v>21</v>
      </c>
      <c r="C524" s="195">
        <v>4</v>
      </c>
      <c r="D524" s="196" t="s">
        <v>432</v>
      </c>
      <c r="E524" s="195"/>
      <c r="F524" s="108">
        <f>SUM(F521:F523)</f>
        <v>1969226.99</v>
      </c>
      <c r="G524" s="108">
        <f t="shared" ref="G524:L524" si="36">SUM(G521:G523)</f>
        <v>1684607.28</v>
      </c>
      <c r="H524" s="108">
        <f t="shared" si="36"/>
        <v>2322330.8500000006</v>
      </c>
      <c r="I524" s="108">
        <f t="shared" si="36"/>
        <v>7823.67</v>
      </c>
      <c r="J524" s="108">
        <f t="shared" si="36"/>
        <v>2178.34</v>
      </c>
      <c r="K524" s="108">
        <f t="shared" si="36"/>
        <v>12246.76</v>
      </c>
      <c r="L524" s="89">
        <f t="shared" si="36"/>
        <v>5998413.8900000006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89188.96+28798.8</f>
        <v>117987.76000000001</v>
      </c>
      <c r="G526" s="18">
        <f>56371.48+9036.26</f>
        <v>65407.740000000005</v>
      </c>
      <c r="H526" s="18">
        <v>0</v>
      </c>
      <c r="I526" s="18">
        <f>2620.86+46.83</f>
        <v>2667.69</v>
      </c>
      <c r="J526" s="18">
        <v>1378.26</v>
      </c>
      <c r="K526" s="18">
        <v>0</v>
      </c>
      <c r="L526" s="88">
        <f>SUM(F526:K526)</f>
        <v>187441.45</v>
      </c>
      <c r="M526" s="8"/>
      <c r="N526" s="266"/>
    </row>
    <row r="527" spans="1:14" s="3" customFormat="1" ht="12.2" customHeight="1" x14ac:dyDescent="0.15">
      <c r="A527" s="22" t="s">
        <v>634</v>
      </c>
      <c r="B527" s="105">
        <v>21</v>
      </c>
      <c r="C527" s="115">
        <v>6</v>
      </c>
      <c r="D527" s="2" t="s">
        <v>432</v>
      </c>
      <c r="E527" s="115"/>
      <c r="F527" s="18">
        <f>19616.31+21599.1</f>
        <v>41215.410000000003</v>
      </c>
      <c r="G527" s="18">
        <f>10657.22+6777.2</f>
        <v>17434.419999999998</v>
      </c>
      <c r="H527" s="18">
        <v>0</v>
      </c>
      <c r="I527" s="18">
        <f>1760.22+35.12</f>
        <v>1795.34</v>
      </c>
      <c r="J527" s="18">
        <v>1033.7</v>
      </c>
      <c r="K527" s="18">
        <v>0</v>
      </c>
      <c r="L527" s="88">
        <f>SUM(F527:K527)</f>
        <v>61478.869999999995</v>
      </c>
      <c r="M527" s="8"/>
      <c r="N527" s="266"/>
    </row>
    <row r="528" spans="1:14" s="3" customFormat="1" ht="12.2" customHeight="1" thickBot="1" x14ac:dyDescent="0.2">
      <c r="A528" s="22" t="s">
        <v>635</v>
      </c>
      <c r="B528" s="118">
        <v>21</v>
      </c>
      <c r="C528" s="118">
        <v>7</v>
      </c>
      <c r="D528" s="2" t="s">
        <v>432</v>
      </c>
      <c r="E528" s="118"/>
      <c r="F528" s="18">
        <f>19616.31+21599.1</f>
        <v>41215.410000000003</v>
      </c>
      <c r="G528" s="18">
        <f>10657.22+6777.2</f>
        <v>17434.419999999998</v>
      </c>
      <c r="H528" s="18">
        <v>0</v>
      </c>
      <c r="I528" s="18">
        <f>1760.22+35.12</f>
        <v>1795.34</v>
      </c>
      <c r="J528" s="18">
        <v>1033.7</v>
      </c>
      <c r="K528" s="18">
        <v>0</v>
      </c>
      <c r="L528" s="88">
        <f>SUM(F528:K528)</f>
        <v>61478.869999999995</v>
      </c>
      <c r="M528" s="8"/>
      <c r="N528" s="266"/>
    </row>
    <row r="529" spans="1:14" s="3" customFormat="1" ht="12.2" customHeight="1" thickTop="1" x14ac:dyDescent="0.15">
      <c r="A529" s="139" t="s">
        <v>65</v>
      </c>
      <c r="B529" s="107">
        <v>21</v>
      </c>
      <c r="C529" s="107">
        <v>8</v>
      </c>
      <c r="D529" s="158" t="s">
        <v>432</v>
      </c>
      <c r="E529" s="107"/>
      <c r="F529" s="89">
        <f>SUM(F526:F528)</f>
        <v>200418.58000000002</v>
      </c>
      <c r="G529" s="89">
        <f t="shared" ref="G529:L529" si="37">SUM(G526:G528)</f>
        <v>100276.58</v>
      </c>
      <c r="H529" s="89">
        <f t="shared" si="37"/>
        <v>0</v>
      </c>
      <c r="I529" s="89">
        <f t="shared" si="37"/>
        <v>6258.37</v>
      </c>
      <c r="J529" s="89">
        <f t="shared" si="37"/>
        <v>3445.66</v>
      </c>
      <c r="K529" s="89">
        <f t="shared" si="37"/>
        <v>0</v>
      </c>
      <c r="L529" s="89">
        <f t="shared" si="37"/>
        <v>310399.19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38885.33</v>
      </c>
      <c r="G531" s="18">
        <v>19857.419999999998</v>
      </c>
      <c r="H531" s="18">
        <v>990.21</v>
      </c>
      <c r="I531" s="18">
        <v>0</v>
      </c>
      <c r="J531" s="18">
        <v>0</v>
      </c>
      <c r="K531" s="18">
        <v>0</v>
      </c>
      <c r="L531" s="88">
        <f>SUM(F531:K531)</f>
        <v>59732.959999999999</v>
      </c>
      <c r="M531" s="8"/>
      <c r="N531" s="266"/>
    </row>
    <row r="532" spans="1:14" s="3" customFormat="1" ht="12.2" customHeight="1" x14ac:dyDescent="0.15">
      <c r="A532" s="22" t="s">
        <v>634</v>
      </c>
      <c r="B532" s="105">
        <v>21</v>
      </c>
      <c r="C532" s="105">
        <v>10</v>
      </c>
      <c r="D532" s="2" t="s">
        <v>432</v>
      </c>
      <c r="E532" s="105"/>
      <c r="F532" s="18">
        <v>29164</v>
      </c>
      <c r="G532" s="18">
        <v>14893.06</v>
      </c>
      <c r="H532" s="18">
        <v>742.66</v>
      </c>
      <c r="I532" s="18">
        <v>0</v>
      </c>
      <c r="J532" s="18">
        <v>0</v>
      </c>
      <c r="K532" s="18">
        <v>0</v>
      </c>
      <c r="L532" s="88">
        <f>SUM(F532:K532)</f>
        <v>44799.72</v>
      </c>
      <c r="M532" s="8"/>
      <c r="N532" s="266"/>
    </row>
    <row r="533" spans="1:14" s="3" customFormat="1" ht="12.2" customHeight="1" thickBot="1" x14ac:dyDescent="0.2">
      <c r="A533" s="22" t="s">
        <v>635</v>
      </c>
      <c r="B533" s="105">
        <v>21</v>
      </c>
      <c r="C533" s="105">
        <v>11</v>
      </c>
      <c r="D533" s="2" t="s">
        <v>432</v>
      </c>
      <c r="E533" s="105"/>
      <c r="F533" s="18">
        <v>29163.99</v>
      </c>
      <c r="G533" s="18">
        <v>14893.06</v>
      </c>
      <c r="H533" s="18">
        <v>742.66</v>
      </c>
      <c r="I533" s="18">
        <v>0</v>
      </c>
      <c r="J533" s="18">
        <v>0</v>
      </c>
      <c r="K533" s="18">
        <v>0</v>
      </c>
      <c r="L533" s="88">
        <f>SUM(F533:K533)</f>
        <v>44799.710000000006</v>
      </c>
      <c r="M533" s="8"/>
      <c r="N533" s="266"/>
    </row>
    <row r="534" spans="1:14" s="3" customFormat="1" ht="12.2" customHeight="1" thickTop="1" x14ac:dyDescent="0.15">
      <c r="A534" s="139" t="s">
        <v>67</v>
      </c>
      <c r="B534" s="107">
        <v>21</v>
      </c>
      <c r="C534" s="107">
        <v>12</v>
      </c>
      <c r="D534" s="158" t="s">
        <v>432</v>
      </c>
      <c r="E534" s="107"/>
      <c r="F534" s="89">
        <f>SUM(F531:F533)</f>
        <v>97213.32</v>
      </c>
      <c r="G534" s="89">
        <f t="shared" ref="G534:L534" si="38">SUM(G531:G533)</f>
        <v>49643.539999999994</v>
      </c>
      <c r="H534" s="89">
        <f t="shared" si="38"/>
        <v>2475.5299999999997</v>
      </c>
      <c r="I534" s="89">
        <f t="shared" si="38"/>
        <v>0</v>
      </c>
      <c r="J534" s="89">
        <f t="shared" si="38"/>
        <v>0</v>
      </c>
      <c r="K534" s="89">
        <f t="shared" si="38"/>
        <v>0</v>
      </c>
      <c r="L534" s="89">
        <f t="shared" si="38"/>
        <v>149332.39000000001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5718.85</v>
      </c>
      <c r="I536" s="18">
        <v>0</v>
      </c>
      <c r="J536" s="18">
        <v>0</v>
      </c>
      <c r="K536" s="18">
        <v>0</v>
      </c>
      <c r="L536" s="88">
        <f>SUM(F536:K536)</f>
        <v>5718.85</v>
      </c>
      <c r="M536" s="8"/>
      <c r="N536" s="266"/>
    </row>
    <row r="537" spans="1:14" s="3" customFormat="1" ht="12.2" customHeight="1" x14ac:dyDescent="0.15">
      <c r="A537" s="22" t="s">
        <v>634</v>
      </c>
      <c r="B537" s="105">
        <v>21</v>
      </c>
      <c r="C537" s="105">
        <v>14</v>
      </c>
      <c r="D537" s="2" t="s">
        <v>432</v>
      </c>
      <c r="E537" s="105"/>
      <c r="F537" s="18">
        <v>0</v>
      </c>
      <c r="G537" s="18">
        <v>0</v>
      </c>
      <c r="H537" s="18">
        <v>4289.1499999999996</v>
      </c>
      <c r="I537" s="18">
        <v>0</v>
      </c>
      <c r="J537" s="18">
        <v>0</v>
      </c>
      <c r="K537" s="18">
        <v>0</v>
      </c>
      <c r="L537" s="88">
        <f>SUM(F537:K537)</f>
        <v>4289.1499999999996</v>
      </c>
      <c r="M537" s="8"/>
      <c r="N537" s="266"/>
    </row>
    <row r="538" spans="1:14" s="3" customFormat="1" ht="12.2" customHeight="1" thickBot="1" x14ac:dyDescent="0.2">
      <c r="A538" s="22" t="s">
        <v>635</v>
      </c>
      <c r="B538" s="105">
        <v>21</v>
      </c>
      <c r="C538" s="105">
        <v>15</v>
      </c>
      <c r="D538" s="2" t="s">
        <v>432</v>
      </c>
      <c r="E538" s="105"/>
      <c r="F538" s="18">
        <v>0</v>
      </c>
      <c r="G538" s="18">
        <v>0</v>
      </c>
      <c r="H538" s="18">
        <v>4289.1499999999996</v>
      </c>
      <c r="I538" s="18">
        <v>0</v>
      </c>
      <c r="J538" s="18">
        <v>0</v>
      </c>
      <c r="K538" s="18">
        <v>0</v>
      </c>
      <c r="L538" s="88">
        <f>SUM(F538:K538)</f>
        <v>4289.1499999999996</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14297.15</v>
      </c>
      <c r="I539" s="89">
        <f t="shared" si="39"/>
        <v>0</v>
      </c>
      <c r="J539" s="89">
        <f t="shared" si="39"/>
        <v>0</v>
      </c>
      <c r="K539" s="89">
        <f t="shared" si="39"/>
        <v>0</v>
      </c>
      <c r="L539" s="89">
        <f t="shared" si="39"/>
        <v>14297.15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v>125023.7</v>
      </c>
      <c r="I541" s="18">
        <v>0</v>
      </c>
      <c r="J541" s="18">
        <v>0</v>
      </c>
      <c r="K541" s="18">
        <v>0</v>
      </c>
      <c r="L541" s="88">
        <f>SUM(F541:K541)</f>
        <v>125023.7</v>
      </c>
      <c r="M541" s="8"/>
      <c r="N541" s="266"/>
    </row>
    <row r="542" spans="1:14" s="3" customFormat="1" ht="12.2" customHeight="1" x14ac:dyDescent="0.15">
      <c r="A542" s="22" t="s">
        <v>634</v>
      </c>
      <c r="B542" s="105">
        <v>21</v>
      </c>
      <c r="C542" s="105">
        <v>18</v>
      </c>
      <c r="D542" s="2" t="s">
        <v>432</v>
      </c>
      <c r="E542" s="105"/>
      <c r="F542" s="18">
        <v>0</v>
      </c>
      <c r="G542" s="18">
        <v>0</v>
      </c>
      <c r="H542" s="18">
        <v>93767.81</v>
      </c>
      <c r="I542" s="18">
        <v>0</v>
      </c>
      <c r="J542" s="18">
        <v>0</v>
      </c>
      <c r="K542" s="18">
        <v>0</v>
      </c>
      <c r="L542" s="88">
        <f>SUM(F542:K542)</f>
        <v>93767.81</v>
      </c>
      <c r="M542" s="8"/>
      <c r="N542" s="266"/>
    </row>
    <row r="543" spans="1:14" s="3" customFormat="1" ht="12.2" customHeight="1" thickBot="1" x14ac:dyDescent="0.2">
      <c r="A543" s="22" t="s">
        <v>635</v>
      </c>
      <c r="B543" s="105">
        <v>21</v>
      </c>
      <c r="C543" s="105">
        <v>19</v>
      </c>
      <c r="D543" s="2" t="s">
        <v>432</v>
      </c>
      <c r="E543" s="105"/>
      <c r="F543" s="18">
        <v>0</v>
      </c>
      <c r="G543" s="18">
        <v>0</v>
      </c>
      <c r="H543" s="18">
        <v>93767.8</v>
      </c>
      <c r="I543" s="18">
        <v>0</v>
      </c>
      <c r="J543" s="18">
        <v>0</v>
      </c>
      <c r="K543" s="18">
        <v>0</v>
      </c>
      <c r="L543" s="88">
        <f>SUM(F543:K543)</f>
        <v>93767.8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312559.31</v>
      </c>
      <c r="I544" s="193">
        <f t="shared" si="40"/>
        <v>0</v>
      </c>
      <c r="J544" s="193">
        <f t="shared" si="40"/>
        <v>0</v>
      </c>
      <c r="K544" s="193">
        <f t="shared" si="40"/>
        <v>0</v>
      </c>
      <c r="L544" s="193">
        <f t="shared" si="40"/>
        <v>312559.31</v>
      </c>
      <c r="M544" s="8"/>
      <c r="N544" s="266"/>
    </row>
    <row r="545" spans="1:14" s="3" customFormat="1" ht="12.2" customHeight="1" thickTop="1" x14ac:dyDescent="0.15">
      <c r="A545" s="98" t="s">
        <v>72</v>
      </c>
      <c r="B545" s="107">
        <v>21</v>
      </c>
      <c r="C545" s="107">
        <v>21</v>
      </c>
      <c r="D545" s="158" t="s">
        <v>432</v>
      </c>
      <c r="E545" s="107"/>
      <c r="F545" s="89">
        <f>F524+F529+F534+F539+F544</f>
        <v>2266858.8899999997</v>
      </c>
      <c r="G545" s="89">
        <f t="shared" ref="G545:L545" si="41">G524+G529+G534+G539+G544</f>
        <v>1834527.4000000001</v>
      </c>
      <c r="H545" s="89">
        <f t="shared" si="41"/>
        <v>2651662.8400000003</v>
      </c>
      <c r="I545" s="89">
        <f t="shared" si="41"/>
        <v>14082.04</v>
      </c>
      <c r="J545" s="89">
        <f t="shared" si="41"/>
        <v>5624</v>
      </c>
      <c r="K545" s="89">
        <f t="shared" si="41"/>
        <v>12246.76</v>
      </c>
      <c r="L545" s="89">
        <f t="shared" si="41"/>
        <v>6785001.9300000006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2111487.4</v>
      </c>
      <c r="G549" s="87">
        <f>L526</f>
        <v>187441.45</v>
      </c>
      <c r="H549" s="87">
        <f>L531</f>
        <v>59732.959999999999</v>
      </c>
      <c r="I549" s="87">
        <f>L536</f>
        <v>5718.85</v>
      </c>
      <c r="J549" s="87">
        <f>L541</f>
        <v>125023.7</v>
      </c>
      <c r="K549" s="87">
        <f>SUM(F549:J549)</f>
        <v>2489404.3600000003</v>
      </c>
      <c r="L549" s="24" t="s">
        <v>288</v>
      </c>
      <c r="M549" s="8"/>
      <c r="N549" s="266"/>
    </row>
    <row r="550" spans="1:14" s="3" customFormat="1" ht="12.2" customHeight="1" x14ac:dyDescent="0.15">
      <c r="A550" s="22" t="s">
        <v>634</v>
      </c>
      <c r="B550" s="75">
        <v>21</v>
      </c>
      <c r="C550" s="75">
        <v>23</v>
      </c>
      <c r="D550" s="2" t="s">
        <v>432</v>
      </c>
      <c r="E550" s="75"/>
      <c r="F550" s="87">
        <f>L522</f>
        <v>1648440.84</v>
      </c>
      <c r="G550" s="87">
        <f>L527</f>
        <v>61478.869999999995</v>
      </c>
      <c r="H550" s="87">
        <f>L532</f>
        <v>44799.72</v>
      </c>
      <c r="I550" s="87">
        <f>L537</f>
        <v>4289.1499999999996</v>
      </c>
      <c r="J550" s="87">
        <f>L542</f>
        <v>93767.81</v>
      </c>
      <c r="K550" s="87">
        <f>SUM(F550:J550)</f>
        <v>1852776.39</v>
      </c>
      <c r="L550" s="24" t="s">
        <v>288</v>
      </c>
      <c r="M550" s="8"/>
      <c r="N550" s="266"/>
    </row>
    <row r="551" spans="1:14" s="3" customFormat="1" ht="12.2" customHeight="1" thickBot="1" x14ac:dyDescent="0.2">
      <c r="A551" s="22" t="s">
        <v>635</v>
      </c>
      <c r="B551" s="75">
        <v>21</v>
      </c>
      <c r="C551" s="75">
        <v>24</v>
      </c>
      <c r="D551" s="2" t="s">
        <v>432</v>
      </c>
      <c r="E551" s="75"/>
      <c r="F551" s="87">
        <f>L523</f>
        <v>2238485.6500000004</v>
      </c>
      <c r="G551" s="87">
        <f>L528</f>
        <v>61478.869999999995</v>
      </c>
      <c r="H551" s="87">
        <f>L533</f>
        <v>44799.710000000006</v>
      </c>
      <c r="I551" s="87">
        <f>L538</f>
        <v>4289.1499999999996</v>
      </c>
      <c r="J551" s="87">
        <f>L543</f>
        <v>93767.8</v>
      </c>
      <c r="K551" s="87">
        <f>SUM(F551:J551)</f>
        <v>2442821.1800000002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5998413.8900000006</v>
      </c>
      <c r="G552" s="89">
        <f t="shared" si="42"/>
        <v>310399.19</v>
      </c>
      <c r="H552" s="89">
        <f t="shared" si="42"/>
        <v>149332.39000000001</v>
      </c>
      <c r="I552" s="89">
        <f t="shared" si="42"/>
        <v>14297.15</v>
      </c>
      <c r="J552" s="89">
        <f t="shared" si="42"/>
        <v>312559.31</v>
      </c>
      <c r="K552" s="89">
        <f t="shared" si="42"/>
        <v>6785001.9299999997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6"/>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13819</v>
      </c>
      <c r="G562" s="18">
        <v>1826.44</v>
      </c>
      <c r="H562" s="18">
        <v>0</v>
      </c>
      <c r="I562" s="18">
        <v>0</v>
      </c>
      <c r="J562" s="18">
        <v>0</v>
      </c>
      <c r="K562" s="18">
        <v>0</v>
      </c>
      <c r="L562" s="88">
        <f>SUM(F562:K562)</f>
        <v>15645.44</v>
      </c>
      <c r="M562" s="8"/>
      <c r="N562" s="266"/>
    </row>
    <row r="563" spans="1:14" s="3" customFormat="1" ht="12.2" customHeight="1" x14ac:dyDescent="0.15">
      <c r="A563" s="22" t="s">
        <v>634</v>
      </c>
      <c r="B563" s="105">
        <v>22</v>
      </c>
      <c r="C563" s="115">
        <v>6</v>
      </c>
      <c r="D563" s="2" t="s">
        <v>432</v>
      </c>
      <c r="E563" s="115"/>
      <c r="F563" s="18">
        <v>10364.25</v>
      </c>
      <c r="G563" s="18">
        <v>1369.83</v>
      </c>
      <c r="H563" s="18">
        <v>0</v>
      </c>
      <c r="I563" s="18">
        <v>0</v>
      </c>
      <c r="J563" s="18">
        <v>0</v>
      </c>
      <c r="K563" s="18">
        <v>0</v>
      </c>
      <c r="L563" s="88">
        <f>SUM(F563:K563)</f>
        <v>11734.08</v>
      </c>
      <c r="M563" s="8"/>
      <c r="N563" s="266"/>
    </row>
    <row r="564" spans="1:14" s="3" customFormat="1" ht="12.2" customHeight="1" thickBot="1" x14ac:dyDescent="0.2">
      <c r="A564" s="22" t="s">
        <v>635</v>
      </c>
      <c r="B564" s="105">
        <v>22</v>
      </c>
      <c r="C564" s="118">
        <v>7</v>
      </c>
      <c r="D564" s="2" t="s">
        <v>432</v>
      </c>
      <c r="E564" s="118"/>
      <c r="F564" s="18">
        <v>10364.25</v>
      </c>
      <c r="G564" s="18">
        <v>1369.83</v>
      </c>
      <c r="H564" s="18">
        <v>0</v>
      </c>
      <c r="I564" s="18">
        <v>0</v>
      </c>
      <c r="J564" s="18">
        <v>0</v>
      </c>
      <c r="K564" s="18">
        <v>0</v>
      </c>
      <c r="L564" s="88">
        <f>SUM(F564:K564)</f>
        <v>11734.08</v>
      </c>
      <c r="M564" s="8"/>
      <c r="N564" s="266"/>
    </row>
    <row r="565" spans="1:14" s="3" customFormat="1" ht="12.2" customHeight="1" thickTop="1" x14ac:dyDescent="0.15">
      <c r="A565" s="139" t="s">
        <v>65</v>
      </c>
      <c r="B565" s="107">
        <v>22</v>
      </c>
      <c r="C565" s="107">
        <v>8</v>
      </c>
      <c r="D565" s="196" t="s">
        <v>432</v>
      </c>
      <c r="E565" s="107"/>
      <c r="F565" s="89">
        <f t="shared" ref="F565:L565" si="44">SUM(F562:F564)</f>
        <v>34547.5</v>
      </c>
      <c r="G565" s="89">
        <f t="shared" si="44"/>
        <v>4566.1000000000004</v>
      </c>
      <c r="H565" s="89">
        <f t="shared" si="44"/>
        <v>0</v>
      </c>
      <c r="I565" s="89">
        <f t="shared" si="44"/>
        <v>0</v>
      </c>
      <c r="J565" s="89">
        <f t="shared" si="44"/>
        <v>0</v>
      </c>
      <c r="K565" s="89">
        <f t="shared" si="44"/>
        <v>0</v>
      </c>
      <c r="L565" s="89">
        <f t="shared" si="44"/>
        <v>39113.599999999999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0</v>
      </c>
      <c r="G567" s="18">
        <v>0</v>
      </c>
      <c r="H567" s="18">
        <v>0</v>
      </c>
      <c r="I567" s="18">
        <v>0</v>
      </c>
      <c r="J567" s="18">
        <v>0</v>
      </c>
      <c r="K567" s="18">
        <v>0</v>
      </c>
      <c r="L567" s="88">
        <f>SUM(F567:K567)</f>
        <v>0</v>
      </c>
      <c r="M567" s="8"/>
      <c r="N567" s="266"/>
    </row>
    <row r="568" spans="1:14" s="3" customFormat="1" ht="12.2" customHeight="1" x14ac:dyDescent="0.15">
      <c r="A568" s="22" t="s">
        <v>634</v>
      </c>
      <c r="B568" s="105">
        <v>22</v>
      </c>
      <c r="C568" s="105">
        <v>10</v>
      </c>
      <c r="D568" s="2" t="s">
        <v>432</v>
      </c>
      <c r="E568" s="105"/>
      <c r="F568" s="18">
        <v>0</v>
      </c>
      <c r="G568" s="18">
        <v>0</v>
      </c>
      <c r="H568" s="18">
        <v>0</v>
      </c>
      <c r="I568" s="18">
        <v>0</v>
      </c>
      <c r="J568" s="18">
        <v>0</v>
      </c>
      <c r="K568" s="18">
        <v>0</v>
      </c>
      <c r="L568" s="88">
        <f>SUM(F568:K568)</f>
        <v>0</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34547.5</v>
      </c>
      <c r="G571" s="89">
        <f t="shared" ref="G571:L571" si="46">G560+G565+G570</f>
        <v>4566.1000000000004</v>
      </c>
      <c r="H571" s="89">
        <f t="shared" si="46"/>
        <v>0</v>
      </c>
      <c r="I571" s="89">
        <f t="shared" si="46"/>
        <v>0</v>
      </c>
      <c r="J571" s="89">
        <f t="shared" si="46"/>
        <v>0</v>
      </c>
      <c r="K571" s="89">
        <f t="shared" si="46"/>
        <v>0</v>
      </c>
      <c r="L571" s="89">
        <f t="shared" si="46"/>
        <v>39113.599999999999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125</v>
      </c>
      <c r="I575" s="87">
        <f>SUM(F575:H575)</f>
        <v>125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27817.14</v>
      </c>
      <c r="G579" s="18">
        <v>467.5</v>
      </c>
      <c r="H579" s="18">
        <v>5500</v>
      </c>
      <c r="I579" s="87">
        <f t="shared" si="47"/>
        <v>33784.639999999999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82239.58</v>
      </c>
      <c r="G582" s="18">
        <v>228076.16</v>
      </c>
      <c r="H582" s="18">
        <v>746380.75</v>
      </c>
      <c r="I582" s="87">
        <f t="shared" si="47"/>
        <v>1056696.49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124152</v>
      </c>
      <c r="I584" s="87">
        <f t="shared" si="47"/>
        <v>124152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196680.77</v>
      </c>
      <c r="I591" s="18">
        <v>147510.6</v>
      </c>
      <c r="J591" s="18">
        <v>110632.92</v>
      </c>
      <c r="K591" s="104">
        <f t="shared" ref="K591:K597" si="48">SUM(H591:J591)</f>
        <v>454824.29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125023.7</v>
      </c>
      <c r="I592" s="18">
        <v>93767.81</v>
      </c>
      <c r="J592" s="18">
        <v>93767.81</v>
      </c>
      <c r="K592" s="104">
        <f t="shared" si="48"/>
        <v>312559.32</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36877.64</v>
      </c>
      <c r="K593" s="104">
        <f t="shared" si="48"/>
        <v>36877.64</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6993.49</v>
      </c>
      <c r="J594" s="18">
        <v>32126.2</v>
      </c>
      <c r="K594" s="104">
        <f t="shared" si="48"/>
        <v>39119.69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3820.73</v>
      </c>
      <c r="I595" s="18">
        <v>5826.8</v>
      </c>
      <c r="J595" s="18">
        <v>8042.3899999999994</v>
      </c>
      <c r="K595" s="104">
        <f t="shared" si="48"/>
        <v>17689.919999999998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1026</v>
      </c>
      <c r="I597" s="18">
        <v>769.5</v>
      </c>
      <c r="J597" s="18">
        <v>769.5</v>
      </c>
      <c r="K597" s="104">
        <f t="shared" si="48"/>
        <v>2565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326551.19999999995</v>
      </c>
      <c r="I598" s="108">
        <f>SUM(I591:I597)</f>
        <v>254868.19999999998</v>
      </c>
      <c r="J598" s="108">
        <f>SUM(J591:J597)</f>
        <v>282216.46000000002</v>
      </c>
      <c r="K598" s="108">
        <f>SUM(K591:K597)</f>
        <v>863635.86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43005.78</v>
      </c>
      <c r="I604" s="18">
        <f>63941.95+91993.6</f>
        <v>155935.54999999999</v>
      </c>
      <c r="J604" s="18">
        <v>95057.13</v>
      </c>
      <c r="K604" s="104">
        <f>SUM(H604:J604)</f>
        <v>293998.45999999996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43005.78</v>
      </c>
      <c r="I605" s="108">
        <f>SUM(I602:I604)</f>
        <v>155935.54999999999</v>
      </c>
      <c r="J605" s="108">
        <f>SUM(J602:J604)</f>
        <v>95057.13</v>
      </c>
      <c r="K605" s="108">
        <f>SUM(K602:K604)</f>
        <v>293998.45999999996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0</v>
      </c>
      <c r="G611" s="18">
        <v>0</v>
      </c>
      <c r="H611" s="18">
        <v>0</v>
      </c>
      <c r="I611" s="18">
        <v>0</v>
      </c>
      <c r="J611" s="18">
        <v>0</v>
      </c>
      <c r="K611" s="18">
        <v>0</v>
      </c>
      <c r="L611" s="88">
        <f>SUM(F611:K611)</f>
        <v>0</v>
      </c>
      <c r="M611" s="8"/>
      <c r="N611" s="266"/>
    </row>
    <row r="612" spans="1:14" s="3" customFormat="1" ht="12.2" customHeight="1" x14ac:dyDescent="0.15">
      <c r="A612" s="22" t="s">
        <v>634</v>
      </c>
      <c r="B612" s="75">
        <v>23</v>
      </c>
      <c r="C612" s="75">
        <v>14</v>
      </c>
      <c r="D612" s="2" t="s">
        <v>432</v>
      </c>
      <c r="E612" s="75"/>
      <c r="F612" s="18">
        <v>3600</v>
      </c>
      <c r="G612" s="18">
        <v>275.39999999999998</v>
      </c>
      <c r="H612" s="18">
        <v>0</v>
      </c>
      <c r="I612" s="18">
        <v>0</v>
      </c>
      <c r="J612" s="18">
        <v>0</v>
      </c>
      <c r="K612" s="18">
        <v>0</v>
      </c>
      <c r="L612" s="88">
        <f>SUM(F612:K612)</f>
        <v>3875.4</v>
      </c>
      <c r="M612" s="8"/>
      <c r="N612" s="266"/>
    </row>
    <row r="613" spans="1:14" s="3" customFormat="1" ht="12.2" customHeight="1" thickBot="1" x14ac:dyDescent="0.2">
      <c r="A613" s="22" t="s">
        <v>645</v>
      </c>
      <c r="B613" s="75">
        <v>23</v>
      </c>
      <c r="C613" s="75">
        <v>15</v>
      </c>
      <c r="D613" s="2" t="s">
        <v>432</v>
      </c>
      <c r="E613" s="75"/>
      <c r="F613" s="18">
        <v>17660</v>
      </c>
      <c r="G613" s="18">
        <v>4048.73</v>
      </c>
      <c r="H613" s="18">
        <v>0</v>
      </c>
      <c r="I613" s="18">
        <v>0</v>
      </c>
      <c r="J613" s="18">
        <v>0</v>
      </c>
      <c r="K613" s="18">
        <v>0</v>
      </c>
      <c r="L613" s="88">
        <f>SUM(F613:K613)</f>
        <v>21708.73</v>
      </c>
      <c r="M613" s="8"/>
      <c r="N613" s="266"/>
    </row>
    <row r="614" spans="1:14" s="3" customFormat="1" ht="12.2" customHeight="1" thickTop="1" x14ac:dyDescent="0.15">
      <c r="A614" s="98" t="s">
        <v>340</v>
      </c>
      <c r="B614" s="107">
        <v>23</v>
      </c>
      <c r="C614" s="107">
        <v>16</v>
      </c>
      <c r="D614" s="39" t="s">
        <v>432</v>
      </c>
      <c r="E614" s="107"/>
      <c r="F614" s="108">
        <f t="shared" ref="F614:L614" si="49">SUM(F611:F613)</f>
        <v>21260</v>
      </c>
      <c r="G614" s="108">
        <f t="shared" si="49"/>
        <v>4324.13</v>
      </c>
      <c r="H614" s="108">
        <f t="shared" si="49"/>
        <v>0</v>
      </c>
      <c r="I614" s="108">
        <f t="shared" si="49"/>
        <v>0</v>
      </c>
      <c r="J614" s="108">
        <f t="shared" si="49"/>
        <v>0</v>
      </c>
      <c r="K614" s="108">
        <f t="shared" si="49"/>
        <v>0</v>
      </c>
      <c r="L614" s="89">
        <f t="shared" si="49"/>
        <v>25584.13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1347057.74</v>
      </c>
      <c r="H617" s="109">
        <f>SUM(F52)</f>
        <v>1347057.7399999998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10727</v>
      </c>
      <c r="H618" s="109">
        <f>SUM(G52)</f>
        <v>10727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117194.21</v>
      </c>
      <c r="H619" s="109">
        <f>SUM(H52)</f>
        <v>117194.21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890893.09</v>
      </c>
      <c r="H621" s="109">
        <f>SUM(J52)</f>
        <v>890893.09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587055.31999999995</v>
      </c>
      <c r="H622" s="109">
        <f>F476</f>
        <v>587055.3200000003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890893.09</v>
      </c>
      <c r="H626" s="109">
        <f>J476</f>
        <v>890893.09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23636676.960000001</v>
      </c>
      <c r="H627" s="104">
        <f>SUM(F468)</f>
        <v>23636676.960000001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557891.28</v>
      </c>
      <c r="H628" s="104">
        <f>SUM(G468)</f>
        <v>557891.28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1053565.6000000001</v>
      </c>
      <c r="H629" s="104">
        <f>SUM(H468)</f>
        <v>1053565.6000000001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335080.66000000003</v>
      </c>
      <c r="H631" s="104">
        <f>SUM(J468)</f>
        <v>335080.66000000003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23495574.529999997</v>
      </c>
      <c r="H632" s="104">
        <f>SUM(F472)</f>
        <v>23495574.530000001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1053565.5990000002</v>
      </c>
      <c r="H633" s="104">
        <f>SUM(H472)</f>
        <v>1053565.6000000001</v>
      </c>
      <c r="I633" s="140" t="s">
        <v>112</v>
      </c>
      <c r="J633" s="109">
        <f>G633-H633</f>
        <v>-9.9999993108212948E-4</v>
      </c>
      <c r="K633" s="85"/>
      <c r="L633" s="88"/>
      <c r="M633" s="8"/>
    </row>
    <row r="634" spans="1:13" s="3" customFormat="1" ht="12.2" customHeight="1" x14ac:dyDescent="0.15">
      <c r="A634" s="22"/>
      <c r="B634" s="105"/>
      <c r="C634" s="105"/>
      <c r="D634" s="105"/>
      <c r="E634" s="105"/>
      <c r="F634" s="142" t="s">
        <v>247</v>
      </c>
      <c r="G634" s="109">
        <f>I362</f>
        <v>186878.3</v>
      </c>
      <c r="H634" s="104">
        <f>I369</f>
        <v>186878.30000000002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557891.28</v>
      </c>
      <c r="H635" s="104">
        <f>SUM(G472)</f>
        <v>557891.28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335080.65999999997</v>
      </c>
      <c r="H637" s="164">
        <f>SUM(J468)</f>
        <v>335080.66000000003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235027.9</v>
      </c>
      <c r="H638" s="164">
        <f>SUM(J472)</f>
        <v>235027.9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830683.7</v>
      </c>
      <c r="H639" s="104">
        <f>SUM(F461)</f>
        <v>830683.7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60209.39</v>
      </c>
      <c r="H641" s="104">
        <f>SUM(H461)</f>
        <v>60209.39</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890893.09</v>
      </c>
      <c r="H642" s="104">
        <f>SUM(I461)</f>
        <v>890893.09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49680.66</v>
      </c>
      <c r="H644" s="104">
        <f>H408</f>
        <v>49680.66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285400</v>
      </c>
      <c r="H645" s="104">
        <f>G408</f>
        <v>285400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335080.66000000003</v>
      </c>
      <c r="H646" s="104">
        <f>L408</f>
        <v>335080.65999999997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863635.86</v>
      </c>
      <c r="H647" s="104">
        <f>L208+L226+L244</f>
        <v>863635.86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293998.45999999996</v>
      </c>
      <c r="H648" s="104">
        <f>(J257+J338)-(J255+J336)</f>
        <v>293998.46000000002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326551.2</v>
      </c>
      <c r="H649" s="104">
        <f>H598</f>
        <v>326551.19999999995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254868.2</v>
      </c>
      <c r="H650" s="104">
        <f>I598</f>
        <v>254868.19999999998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282216.45999999996</v>
      </c>
      <c r="H651" s="104">
        <f>J598</f>
        <v>282216.46000000002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81797.55</v>
      </c>
      <c r="H652" s="104">
        <f>K263+K345</f>
        <v>81797.55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285400</v>
      </c>
      <c r="H655" s="104">
        <f>K266+K347</f>
        <v>285400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-1.0000020265579224E-3</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8118098.8039999995</v>
      </c>
      <c r="G660" s="19">
        <f>(L229+L309+L359)</f>
        <v>7379229.4570000004</v>
      </c>
      <c r="H660" s="19">
        <f>(L247+L328+L360)</f>
        <v>8095237.6479999991</v>
      </c>
      <c r="I660" s="19">
        <f>SUM(F660:H660)</f>
        <v>23592565.908999998</v>
      </c>
      <c r="J660" s="13"/>
      <c r="K660" s="13"/>
      <c r="L660" s="13"/>
      <c r="M660" s="9"/>
    </row>
    <row r="661" spans="1:13" s="3" customFormat="1" ht="12.2" customHeight="1" x14ac:dyDescent="0.2">
      <c r="A661" s="1" t="s">
        <v>127</v>
      </c>
      <c r="F661" s="19">
        <f>(L358/IF(SUM(L358:L360)=0,1,SUM(L358:L360))*(SUM(G97:G110)))</f>
        <v>89640.240335709852</v>
      </c>
      <c r="G661" s="19">
        <f>(L359/IF(SUM(L358:L360)=0,1,SUM(L358:L360))*(SUM(G97:G110)))</f>
        <v>91106.630850082496</v>
      </c>
      <c r="H661" s="19">
        <f>(L360/IF(SUM(L358:L360)=0,1,SUM(L358:L360))*(SUM(G97:G110)))</f>
        <v>95728.968814207677</v>
      </c>
      <c r="I661" s="19">
        <f>SUM(F661:H661)</f>
        <v>276475.84000000003</v>
      </c>
      <c r="J661"/>
      <c r="K661" s="13"/>
      <c r="L661" s="13"/>
      <c r="M661" s="9"/>
    </row>
    <row r="662" spans="1:13" s="3" customFormat="1" ht="12.2" customHeight="1" x14ac:dyDescent="0.2">
      <c r="A662" s="1" t="s">
        <v>128</v>
      </c>
      <c r="F662" s="19">
        <f>(L208+L287)-(J208+J287)</f>
        <v>326551.2</v>
      </c>
      <c r="G662" s="19">
        <f>(L226+L306)-(J226+J306)</f>
        <v>254868.2</v>
      </c>
      <c r="H662" s="19">
        <f>(L244+L325)-(J244+J325)</f>
        <v>282216.45999999996</v>
      </c>
      <c r="I662" s="19">
        <f>SUM(F662:H662)</f>
        <v>863635.86</v>
      </c>
      <c r="J662"/>
      <c r="K662" s="13"/>
      <c r="L662" s="13"/>
      <c r="M662" s="8"/>
    </row>
    <row r="663" spans="1:13" s="3" customFormat="1" ht="12.2" customHeight="1" x14ac:dyDescent="0.15">
      <c r="A663" s="198" t="s">
        <v>129</v>
      </c>
      <c r="B663" s="169"/>
      <c r="C663" s="169"/>
      <c r="D663" s="169"/>
      <c r="E663" s="169"/>
      <c r="F663" s="199">
        <f>SUM(F575:F587)+SUM(H602:H604)+SUM(L611)</f>
        <v>153062.5</v>
      </c>
      <c r="G663" s="199">
        <f>SUM(G575:G587)+SUM(I602:I604)+L612</f>
        <v>388354.61</v>
      </c>
      <c r="H663" s="199">
        <f>SUM(H575:H587)+SUM(J602:J604)+L613</f>
        <v>992923.61</v>
      </c>
      <c r="I663" s="19">
        <f>SUM(F663:H663)</f>
        <v>1534340.72</v>
      </c>
      <c r="J663" s="13"/>
      <c r="K663" s="13"/>
      <c r="L663" s="13"/>
      <c r="M663" s="9"/>
    </row>
    <row r="664" spans="1:13" s="3" customFormat="1" ht="12.2" customHeight="1" x14ac:dyDescent="0.15">
      <c r="A664" s="1" t="s">
        <v>130</v>
      </c>
      <c r="F664" s="19">
        <f>F660-SUM(F661:F663)</f>
        <v>7548844.8636642899</v>
      </c>
      <c r="G664" s="19">
        <f>G660-SUM(G661:G663)</f>
        <v>6644900.0161499176</v>
      </c>
      <c r="H664" s="19">
        <f>H660-SUM(H661:H663)</f>
        <v>6724368.6091857916</v>
      </c>
      <c r="I664" s="19">
        <f>I660-SUM(I661:I663)</f>
        <v>20918113.489</v>
      </c>
      <c r="J664" s="13"/>
      <c r="K664" s="13"/>
      <c r="L664" s="13"/>
      <c r="M664" s="9"/>
    </row>
    <row r="665" spans="1:13" s="3" customFormat="1" ht="12.2" customHeight="1" x14ac:dyDescent="0.2">
      <c r="A665" s="1" t="s">
        <v>131</v>
      </c>
      <c r="F665" s="246">
        <v>469.17</v>
      </c>
      <c r="G665" s="247">
        <v>381.98</v>
      </c>
      <c r="H665" s="247">
        <v>360.13</v>
      </c>
      <c r="I665" s="19">
        <f>SUM(F665:H665)</f>
        <v>1211.2800000000002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16089.79</v>
      </c>
      <c r="G667" s="19">
        <f>ROUND(G664/G665,2)</f>
        <v>17395.939999999999</v>
      </c>
      <c r="H667" s="19">
        <f>ROUND(H664/H665,2)</f>
        <v>18672.060000000001</v>
      </c>
      <c r="I667" s="19">
        <f>ROUND(I664/I665,2)</f>
        <v>17269.43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-15.44</v>
      </c>
      <c r="I670" s="19">
        <f>SUM(F670:H670)</f>
        <v>-15.44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16089.79</v>
      </c>
      <c r="G672" s="19">
        <f>ROUND((G664+G669)/(G665+G670),2)</f>
        <v>17395.939999999999</v>
      </c>
      <c r="H672" s="19">
        <f>ROUND((H664+H669)/(H665+H670),2)</f>
        <v>19508.45</v>
      </c>
      <c r="I672" s="19">
        <f>ROUND((I664+I669)/(I665+I670),2)</f>
        <v>17492.400000000001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Raymond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5573218.4900000002</v>
      </c>
      <c r="C9" s="229">
        <f>'DOE25'!G197+'DOE25'!G215+'DOE25'!G233+'DOE25'!G276+'DOE25'!G295+'DOE25'!G314</f>
        <v>2788263.5200000005</v>
      </c>
    </row>
    <row r="10" spans="1:3" x14ac:dyDescent="0.2">
      <c r="A10" t="s">
        <v>775</v>
      </c>
      <c r="B10" s="240">
        <f>5101997.95+3900+9380+67145</f>
        <v>5182422.95</v>
      </c>
      <c r="C10" s="240">
        <f>2724519.78+18589.45+31734.33+4773.37-20953.11+0.01</f>
        <v>2758663.83</v>
      </c>
    </row>
    <row r="11" spans="1:3" x14ac:dyDescent="0.2">
      <c r="A11" t="s">
        <v>776</v>
      </c>
      <c r="B11" s="240">
        <f>116898.73+0.01</f>
        <v>116898.73999999999</v>
      </c>
      <c r="C11" s="240">
        <v>8646.58</v>
      </c>
    </row>
    <row r="12" spans="1:3" x14ac:dyDescent="0.2">
      <c r="A12" t="s">
        <v>777</v>
      </c>
      <c r="B12" s="240">
        <f>167531.8+58495+1680+46190</f>
        <v>273896.8</v>
      </c>
      <c r="C12" s="240">
        <v>20953.11</v>
      </c>
    </row>
    <row r="13" spans="1:3" x14ac:dyDescent="0.2">
      <c r="A13" t="str">
        <f>IF(B9=B13,IF(C9=C13,"Check Total OK","Check Total Error"),"Check Total Error")</f>
        <v>Check Total OK</v>
      </c>
      <c r="B13" s="231">
        <f>SUM(B10:B12)</f>
        <v>5573218.4900000002</v>
      </c>
      <c r="C13" s="231">
        <f>SUM(C10:C12)</f>
        <v>2788263.52</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2003774.49</v>
      </c>
      <c r="C18" s="229">
        <f>'DOE25'!G198+'DOE25'!G216+'DOE25'!G234+'DOE25'!G277+'DOE25'!G296+'DOE25'!G315</f>
        <v>1689173.38</v>
      </c>
    </row>
    <row r="19" spans="1:3" x14ac:dyDescent="0.2">
      <c r="A19" t="s">
        <v>775</v>
      </c>
      <c r="B19" s="240">
        <f>838204.84+36448.94+43706.96</f>
        <v>918360.74</v>
      </c>
      <c r="C19" s="240">
        <f>1505447.39+20779.72+18880.9-600</f>
        <v>1544508.0099999998</v>
      </c>
    </row>
    <row r="20" spans="1:3" x14ac:dyDescent="0.2">
      <c r="A20" t="s">
        <v>776</v>
      </c>
      <c r="B20" s="240">
        <v>873709.93</v>
      </c>
      <c r="C20" s="240">
        <v>66838.81</v>
      </c>
    </row>
    <row r="21" spans="1:3" x14ac:dyDescent="0.2">
      <c r="A21" t="s">
        <v>777</v>
      </c>
      <c r="B21" s="240">
        <f>165289.51+46414.32-0.01</f>
        <v>211703.82</v>
      </c>
      <c r="C21" s="240">
        <f>58658.46+19168.1</f>
        <v>77826.559999999998</v>
      </c>
    </row>
    <row r="22" spans="1:3" x14ac:dyDescent="0.2">
      <c r="A22" t="str">
        <f>IF(B18=B22,IF(C18=C22,"Check Total OK","Check Total Error"),"Check Total Error")</f>
        <v>Check Total OK</v>
      </c>
      <c r="B22" s="231">
        <f>SUM(B19:B21)</f>
        <v>2003774.49</v>
      </c>
      <c r="C22" s="231">
        <f>SUM(C19:C21)</f>
        <v>1689173.38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305502.02</v>
      </c>
      <c r="C36" s="235">
        <f>'DOE25'!G200+'DOE25'!G218+'DOE25'!G236+'DOE25'!G279+'DOE25'!G298+'DOE25'!G317</f>
        <v>51550.57</v>
      </c>
    </row>
    <row r="37" spans="1:3" x14ac:dyDescent="0.2">
      <c r="A37" t="s">
        <v>775</v>
      </c>
      <c r="B37" s="240">
        <f>3215+18246.41+68519.03+17660</f>
        <v>107640.44</v>
      </c>
      <c r="C37" s="240">
        <v>46414.16</v>
      </c>
    </row>
    <row r="38" spans="1:3" x14ac:dyDescent="0.2">
      <c r="A38" t="s">
        <v>776</v>
      </c>
      <c r="B38" s="240">
        <f>11218.5+20024.45+3563.19+15048.75</f>
        <v>49854.89</v>
      </c>
      <c r="C38" s="240">
        <v>3813.9</v>
      </c>
    </row>
    <row r="39" spans="1:3" x14ac:dyDescent="0.2">
      <c r="A39" t="s">
        <v>777</v>
      </c>
      <c r="B39" s="240">
        <f>1712+15697+32292+3600+9462.5+27000+22656+12931.19+22656</f>
        <v>148006.69</v>
      </c>
      <c r="C39" s="240">
        <v>1322.51</v>
      </c>
    </row>
    <row r="40" spans="1:3" x14ac:dyDescent="0.2">
      <c r="A40" t="str">
        <f>IF(B36=B40,IF(C36=C40,"Check Total OK","Check Total Error"),"Check Total Error")</f>
        <v>Check Total OK</v>
      </c>
      <c r="B40" s="231">
        <f>SUM(B37:B39)</f>
        <v>305502.02</v>
      </c>
      <c r="C40" s="231">
        <f>SUM(C37:C39)</f>
        <v>51550.570000000007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Raymond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14789951.770000001</v>
      </c>
      <c r="D5" s="20">
        <f>SUM('DOE25'!L197:L200)+SUM('DOE25'!L215:L218)+SUM('DOE25'!L233:L236)-F5-G5-H5</f>
        <v>14662073.610000001</v>
      </c>
      <c r="E5" s="243"/>
      <c r="F5" s="244">
        <v>13083.25</v>
      </c>
      <c r="G5" s="53">
        <f>SUM('DOE25'!J197:J200)+SUM('DOE25'!J215:J218)+SUM('DOE25'!J233:J236)</f>
        <v>94868.170000000013</v>
      </c>
      <c r="H5" s="53">
        <f>SUM('DOE25'!K197:K200)+SUM('DOE25'!K215:K218)+SUM('DOE25'!K233:K236)</f>
        <v>19926.739999999998</v>
      </c>
      <c r="I5" s="256"/>
    </row>
    <row r="6" spans="1:9" x14ac:dyDescent="0.2">
      <c r="A6" s="32">
        <v>2100</v>
      </c>
      <c r="B6" t="s">
        <v>796</v>
      </c>
      <c r="C6" s="276">
        <f t="shared" si="0"/>
        <v>1280130.5899999999</v>
      </c>
      <c r="D6" s="20">
        <f>'DOE25'!L202+'DOE25'!L220+'DOE25'!L238-F6-G6-H6</f>
        <v>1225538.0899999999</v>
      </c>
      <c r="E6" s="243"/>
      <c r="F6" s="244">
        <v>54442.5</v>
      </c>
      <c r="G6" s="53">
        <f>'DOE25'!J202+'DOE25'!J220+'DOE25'!J238</f>
        <v>0</v>
      </c>
      <c r="H6" s="53">
        <f>'DOE25'!K202+'DOE25'!K220+'DOE25'!K238</f>
        <v>150</v>
      </c>
      <c r="I6" s="256"/>
    </row>
    <row r="7" spans="1:9" x14ac:dyDescent="0.2">
      <c r="A7" s="32">
        <v>2200</v>
      </c>
      <c r="B7" t="s">
        <v>821</v>
      </c>
      <c r="C7" s="276">
        <f t="shared" si="0"/>
        <v>749712.11</v>
      </c>
      <c r="D7" s="20">
        <f>'DOE25'!L203+'DOE25'!L221+'DOE25'!L239-F7-G7-H7</f>
        <v>645099.73</v>
      </c>
      <c r="E7" s="243"/>
      <c r="F7" s="244">
        <v>0</v>
      </c>
      <c r="G7" s="53">
        <f>'DOE25'!J203+'DOE25'!J221+'DOE25'!J239</f>
        <v>104612.38</v>
      </c>
      <c r="H7" s="53">
        <f>'DOE25'!K203+'DOE25'!K221+'DOE25'!K239</f>
        <v>0</v>
      </c>
      <c r="I7" s="256"/>
    </row>
    <row r="8" spans="1:9" x14ac:dyDescent="0.2">
      <c r="A8" s="32">
        <v>2300</v>
      </c>
      <c r="B8" t="s">
        <v>797</v>
      </c>
      <c r="C8" s="276">
        <f t="shared" si="0"/>
        <v>502956.57000000012</v>
      </c>
      <c r="D8" s="243"/>
      <c r="E8" s="20">
        <f>'DOE25'!L204+'DOE25'!L222+'DOE25'!L240-F8-G8-H8-D9-D11</f>
        <v>475680.12000000011</v>
      </c>
      <c r="F8" s="244">
        <v>18967.63</v>
      </c>
      <c r="G8" s="53">
        <f>'DOE25'!J204+'DOE25'!J222+'DOE25'!J240</f>
        <v>0</v>
      </c>
      <c r="H8" s="53">
        <f>'DOE25'!K204+'DOE25'!K222+'DOE25'!K240</f>
        <v>8308.82</v>
      </c>
      <c r="I8" s="256"/>
    </row>
    <row r="9" spans="1:9" ht="14.25" x14ac:dyDescent="0.2">
      <c r="A9" s="32">
        <v>2310</v>
      </c>
      <c r="B9" s="185" t="s">
        <v>890</v>
      </c>
      <c r="C9" s="276">
        <f t="shared" si="0"/>
        <v>26155.11</v>
      </c>
      <c r="D9" s="244">
        <v>26155.11</v>
      </c>
      <c r="E9" s="243"/>
      <c r="F9" s="253"/>
      <c r="G9" s="253"/>
      <c r="H9" s="253"/>
      <c r="I9" s="256"/>
    </row>
    <row r="10" spans="1:9" ht="14.25" x14ac:dyDescent="0.2">
      <c r="A10" s="32">
        <v>2317</v>
      </c>
      <c r="B10" s="185" t="s">
        <v>891</v>
      </c>
      <c r="C10" s="276">
        <f t="shared" si="0"/>
        <v>16562.5</v>
      </c>
      <c r="D10" s="243"/>
      <c r="E10" s="244">
        <v>16562.5</v>
      </c>
      <c r="F10" s="253"/>
      <c r="G10" s="253"/>
      <c r="H10" s="253"/>
      <c r="I10" s="256"/>
    </row>
    <row r="11" spans="1:9" ht="14.25" x14ac:dyDescent="0.2">
      <c r="A11" s="32">
        <v>2321</v>
      </c>
      <c r="B11" s="185" t="s">
        <v>892</v>
      </c>
      <c r="C11" s="276">
        <f t="shared" si="0"/>
        <v>257264.66</v>
      </c>
      <c r="D11" s="244">
        <v>257264.66</v>
      </c>
      <c r="E11" s="243"/>
      <c r="F11" s="253"/>
      <c r="G11" s="253"/>
      <c r="H11" s="253"/>
      <c r="I11" s="256"/>
    </row>
    <row r="12" spans="1:9" x14ac:dyDescent="0.2">
      <c r="A12" s="32">
        <v>2400</v>
      </c>
      <c r="B12" t="s">
        <v>711</v>
      </c>
      <c r="C12" s="276">
        <f t="shared" si="0"/>
        <v>1393514.71</v>
      </c>
      <c r="D12" s="20">
        <f>'DOE25'!L205+'DOE25'!L223+'DOE25'!L241-F12-G12-H12</f>
        <v>1371690.81</v>
      </c>
      <c r="E12" s="243"/>
      <c r="F12" s="244">
        <v>0</v>
      </c>
      <c r="G12" s="53">
        <f>'DOE25'!J205+'DOE25'!J223+'DOE25'!J241</f>
        <v>0</v>
      </c>
      <c r="H12" s="53">
        <f>'DOE25'!K205+'DOE25'!K223+'DOE25'!K241</f>
        <v>21823.9</v>
      </c>
      <c r="I12" s="256"/>
    </row>
    <row r="13" spans="1:9" x14ac:dyDescent="0.2">
      <c r="A13" s="32">
        <v>2500</v>
      </c>
      <c r="B13" t="s">
        <v>798</v>
      </c>
      <c r="C13" s="276">
        <f t="shared" si="0"/>
        <v>270719.81</v>
      </c>
      <c r="D13" s="243"/>
      <c r="E13" s="20">
        <f>'DOE25'!L206+'DOE25'!L224+'DOE25'!L242-F13-G13-H13</f>
        <v>269654.81</v>
      </c>
      <c r="F13" s="244">
        <v>0</v>
      </c>
      <c r="G13" s="53">
        <f>'DOE25'!J206+'DOE25'!J224+'DOE25'!J242</f>
        <v>0</v>
      </c>
      <c r="H13" s="53">
        <f>'DOE25'!K206+'DOE25'!K224+'DOE25'!K242</f>
        <v>1065</v>
      </c>
      <c r="I13" s="256"/>
    </row>
    <row r="14" spans="1:9" x14ac:dyDescent="0.2">
      <c r="A14" s="32">
        <v>2600</v>
      </c>
      <c r="B14" t="s">
        <v>819</v>
      </c>
      <c r="C14" s="276">
        <f t="shared" si="0"/>
        <v>1864056.0900000003</v>
      </c>
      <c r="D14" s="20">
        <f>'DOE25'!L207+'DOE25'!L225+'DOE25'!L243-F14-G14-H14</f>
        <v>1837486.2800000003</v>
      </c>
      <c r="E14" s="243"/>
      <c r="F14" s="244">
        <v>24045.5</v>
      </c>
      <c r="G14" s="53">
        <f>'DOE25'!J207+'DOE25'!J225+'DOE25'!J243</f>
        <v>2524.31</v>
      </c>
      <c r="H14" s="53">
        <f>'DOE25'!K207+'DOE25'!K225+'DOE25'!K243</f>
        <v>0</v>
      </c>
      <c r="I14" s="256"/>
    </row>
    <row r="15" spans="1:9" x14ac:dyDescent="0.2">
      <c r="A15" s="32">
        <v>2700</v>
      </c>
      <c r="B15" t="s">
        <v>799</v>
      </c>
      <c r="C15" s="276">
        <f t="shared" si="0"/>
        <v>863635.86</v>
      </c>
      <c r="D15" s="20">
        <f>'DOE25'!L208+'DOE25'!L226+'DOE25'!L244-F15-G15-H15</f>
        <v>25000</v>
      </c>
      <c r="E15" s="243"/>
      <c r="F15" s="244">
        <f>863635.86-25000</f>
        <v>838635.86</v>
      </c>
      <c r="G15" s="53">
        <f>'DOE25'!J208+'DOE25'!J226+'DOE25'!J244</f>
        <v>0</v>
      </c>
      <c r="H15" s="53">
        <f>'DOE25'!K208+'DOE25'!K226+'DOE25'!K244</f>
        <v>0</v>
      </c>
      <c r="I15" s="256"/>
    </row>
    <row r="16" spans="1:9" x14ac:dyDescent="0.2">
      <c r="A16" s="32">
        <v>2800</v>
      </c>
      <c r="B16" t="s">
        <v>800</v>
      </c>
      <c r="C16" s="276">
        <f t="shared" si="0"/>
        <v>1803.7999999999997</v>
      </c>
      <c r="D16" s="243"/>
      <c r="E16" s="20">
        <f>'DOE25'!L209+'DOE25'!L227+'DOE25'!L245-F16-G16-H16</f>
        <v>1803.7999999999997</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22998.400000000001</v>
      </c>
      <c r="D19" s="20">
        <f>'DOE25'!L253-F19-G19-H19</f>
        <v>22998.400000000001</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3375</v>
      </c>
      <c r="D22" s="243"/>
      <c r="E22" s="243"/>
      <c r="F22" s="243"/>
      <c r="G22" s="53">
        <f>'DOE25'!L255+'DOE25'!L336</f>
        <v>3375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1102102.5</v>
      </c>
      <c r="D25" s="243"/>
      <c r="E25" s="243"/>
      <c r="F25" s="255"/>
      <c r="G25" s="253"/>
      <c r="H25" s="253"/>
      <c r="I25" s="254">
        <f>'DOE25'!L260+'DOE25'!L261+'DOE25'!L341+'DOE25'!L342</f>
        <v>1102102.5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393988.14</v>
      </c>
      <c r="D29" s="284">
        <f>'DOE25'!L358+'DOE25'!L359+'DOE25'!L360-'DOE25'!I367-F29-G29-H29</f>
        <v>388932.79</v>
      </c>
      <c r="E29" s="243"/>
      <c r="F29" s="244">
        <v>0</v>
      </c>
      <c r="G29" s="53">
        <f>'DOE25'!J358+'DOE25'!J359+'DOE25'!J360</f>
        <v>3598.14</v>
      </c>
      <c r="H29" s="53">
        <f>'DOE25'!K358+'DOE25'!K359+'DOE25'!K360</f>
        <v>1457.21</v>
      </c>
      <c r="I29" s="256"/>
    </row>
    <row r="30" spans="1:9" x14ac:dyDescent="0.2">
      <c r="A30" s="32"/>
      <c r="C30" s="277"/>
      <c r="D30" s="20"/>
      <c r="E30" s="281"/>
      <c r="F30" s="271"/>
      <c r="G30" s="53"/>
      <c r="H30" s="53"/>
      <c r="I30" s="256"/>
    </row>
    <row r="31" spans="1:9" x14ac:dyDescent="0.2">
      <c r="A31" s="32" t="s">
        <v>818</v>
      </c>
      <c r="B31" t="s">
        <v>817</v>
      </c>
      <c r="C31" s="276">
        <f>SUM(D31:I31)</f>
        <v>1034773.5490000001</v>
      </c>
      <c r="D31" s="20">
        <f>'DOE25'!L290+'DOE25'!L309+'DOE25'!L328+'DOE25'!L333+'DOE25'!L334+'DOE25'!L335-F31-G31-H31</f>
        <v>920136.44900000014</v>
      </c>
      <c r="E31" s="243"/>
      <c r="F31" s="244">
        <v>22643.5</v>
      </c>
      <c r="G31" s="53">
        <f>'DOE25'!J290+'DOE25'!J309+'DOE25'!J328+'DOE25'!J333+'DOE25'!J334+'DOE25'!J335</f>
        <v>91993.600000000006</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21382375.928999998</v>
      </c>
      <c r="E33" s="245">
        <f t="shared" si="1"/>
        <v>763701.23000000021</v>
      </c>
      <c r="F33" s="245">
        <f t="shared" si="1"/>
        <v>971818.24</v>
      </c>
      <c r="G33" s="245">
        <f t="shared" si="1"/>
        <v>300971.60000000003</v>
      </c>
      <c r="H33" s="245">
        <f t="shared" si="1"/>
        <v>52731.67</v>
      </c>
      <c r="I33" s="245">
        <f t="shared" si="1"/>
        <v>1102102.5</v>
      </c>
    </row>
    <row r="35" spans="1:9" ht="12" thickBot="1" x14ac:dyDescent="0.25">
      <c r="B35" s="251" t="s">
        <v>831</v>
      </c>
      <c r="D35" s="252">
        <f>E33</f>
        <v>763701.23000000021</v>
      </c>
      <c r="E35" s="248"/>
    </row>
    <row r="36" spans="1:9" ht="12" thickTop="1" x14ac:dyDescent="0.2">
      <c r="B36" t="s">
        <v>810</v>
      </c>
      <c r="D36" s="20">
        <f>D33</f>
        <v>21382375.928999998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Raymond School District</v>
      </c>
      <c r="B2" s="126">
        <f>'DOE25'!B2</f>
        <v>453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7937216.7800000003</v>
      </c>
      <c r="G4" s="303">
        <f>'DOE25'!L211+'DOE25'!L290</f>
        <v>7937216.784</v>
      </c>
      <c r="H4" s="304">
        <f>F4-G4</f>
        <v>-3.9999997243285179E-3</v>
      </c>
      <c r="I4" s="310" t="str">
        <f>IF(H4=0,"","Does not match DOE25 page 7 and 11 Totals!!")</f>
        <v>Does not match DOE25 page 7 and 11 Totals!!</v>
      </c>
      <c r="N4"/>
    </row>
    <row r="5" spans="1:18" x14ac:dyDescent="0.2">
      <c r="A5" s="21" t="s">
        <v>1399</v>
      </c>
      <c r="B5" s="305">
        <f>IFERROR(VLOOKUP(A5,'School Tables'!$C$3:$D$368,2,FALSE),"")</f>
        <v>21385</v>
      </c>
      <c r="C5" s="297" t="str">
        <f>IFERROR(INDEX('School Tables'!$B$3:$B$368,MATCH('School Level Expenditures'!B5,'School Tables'!$D$3:$D$368,0)),"")</f>
        <v>Raymond</v>
      </c>
      <c r="D5" s="294">
        <v>7477392.54</v>
      </c>
      <c r="E5" s="294">
        <v>459824.24</v>
      </c>
      <c r="F5" s="313">
        <f>D5+E5</f>
        <v>7937216.7800000003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7195388.46</v>
      </c>
      <c r="G24" s="303">
        <f>'DOE25'!L229+'DOE25'!L309</f>
        <v>7195388.4570000004</v>
      </c>
      <c r="H24" s="304">
        <f>F24-G24</f>
        <v>2.9999995604157448E-3</v>
      </c>
      <c r="I24" s="310" t="str">
        <f>IF(H24=0,"","Does not match DOE25 page 8 and 12 Totals!!")</f>
        <v>Does not match DOE25 page 8 and 12 Totals!!</v>
      </c>
      <c r="N24"/>
    </row>
    <row r="25" spans="1:14" x14ac:dyDescent="0.2">
      <c r="A25" s="21" t="s">
        <v>1401</v>
      </c>
      <c r="B25" s="305">
        <f>IFERROR(VLOOKUP(A25,'School Tables'!$I$3:$J$80,2,FALSE),"")</f>
        <v>26525</v>
      </c>
      <c r="C25" s="297" t="str">
        <f t="array" ref="C25">IFERROR(INDEX('School Tables'!$H$3:$H$80,MATCH('School Level Expenditures'!B25,'School Tables'!$J$3:$J$80,0)),"")</f>
        <v>Raymond</v>
      </c>
      <c r="D25" s="294">
        <v>6853327.0499999998</v>
      </c>
      <c r="E25" s="294">
        <v>342061.41</v>
      </c>
      <c r="F25" s="308">
        <f>D25+E25</f>
        <v>7195388.46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7902069.3900000006</v>
      </c>
      <c r="G36" s="303">
        <f>'DOE25'!L247+'DOE25'!L328</f>
        <v>7902069.3879999993</v>
      </c>
      <c r="H36" s="304">
        <f>F36-G36</f>
        <v>2.0000012591481209E-3</v>
      </c>
      <c r="I36" s="310" t="str">
        <f>IF(H36=0,"","Does not match DOE25 page 9 and 13 Totals!!")</f>
        <v>Does not match DOE25 page 9 and 13 Totals!!</v>
      </c>
      <c r="N36"/>
    </row>
    <row r="37" spans="1:14" x14ac:dyDescent="0.2">
      <c r="A37" s="21" t="s">
        <v>1400</v>
      </c>
      <c r="B37" s="305">
        <f>IFERROR(VLOOKUP(A37,'School Tables'!$O$3:$P$122,2,FALSE),"")</f>
        <v>21390</v>
      </c>
      <c r="C37" s="297" t="str">
        <f t="array" ref="C37">IFERROR(INDEX('School Tables'!$N$3:$N$122,MATCH('School Level Expenditures'!B37,'School Tables'!$P$3:$P$122,0)),"")</f>
        <v>Raymond</v>
      </c>
      <c r="D37" s="294">
        <v>7669181.4900000002</v>
      </c>
      <c r="E37" s="294">
        <v>232887.9</v>
      </c>
      <c r="F37" s="308">
        <f>D37+E37</f>
        <v>7902069.3900000006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5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Raymond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1057154.06</v>
      </c>
      <c r="D8" s="95">
        <f>'DOE25'!G9</f>
        <v>100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890893.09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114642.49</v>
      </c>
      <c r="D11" s="95">
        <f>'DOE25'!G12</f>
        <v>0</v>
      </c>
      <c r="E11" s="95">
        <f>'DOE25'!H12</f>
        <v>0</v>
      </c>
      <c r="F11" s="95">
        <f>'DOE25'!I12</f>
        <v>0</v>
      </c>
      <c r="G11" s="95">
        <f>'DOE25'!J12</f>
        <v>0</v>
      </c>
      <c r="H11" s="124"/>
      <c r="I11" s="124"/>
    </row>
    <row r="12" spans="1:9" x14ac:dyDescent="0.2">
      <c r="A12" s="1" t="s">
        <v>143</v>
      </c>
      <c r="B12" s="6">
        <v>140</v>
      </c>
      <c r="C12" s="95">
        <f>'DOE25'!F13</f>
        <v>0</v>
      </c>
      <c r="D12" s="95">
        <f>'DOE25'!G13</f>
        <v>10627</v>
      </c>
      <c r="E12" s="95">
        <f>'DOE25'!H13</f>
        <v>117194.21</v>
      </c>
      <c r="F12" s="95">
        <f>'DOE25'!I13</f>
        <v>0</v>
      </c>
      <c r="G12" s="95">
        <f>'DOE25'!J13</f>
        <v>0</v>
      </c>
      <c r="H12" s="124"/>
      <c r="I12" s="124"/>
    </row>
    <row r="13" spans="1:9" x14ac:dyDescent="0.2">
      <c r="A13" s="1" t="s">
        <v>144</v>
      </c>
      <c r="B13" s="6">
        <v>150</v>
      </c>
      <c r="C13" s="95">
        <f>'DOE25'!F14</f>
        <v>175261.19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1347057.74</v>
      </c>
      <c r="D18" s="41">
        <f>SUM(D8:D17)</f>
        <v>10727</v>
      </c>
      <c r="E18" s="41">
        <f>SUM(E8:E17)</f>
        <v>117194.21</v>
      </c>
      <c r="F18" s="41">
        <f>SUM(F8:F17)</f>
        <v>0</v>
      </c>
      <c r="G18" s="41">
        <f>SUM(G8:G17)</f>
        <v>890893.09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56</v>
      </c>
      <c r="E21" s="95">
        <f>'DOE25'!H22</f>
        <v>114586.39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492057.73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102620.37</v>
      </c>
      <c r="D27" s="95">
        <f>'DOE25'!G28</f>
        <v>0</v>
      </c>
      <c r="E27" s="95">
        <f>'DOE25'!H28</f>
        <v>2607.8200000000002</v>
      </c>
      <c r="F27" s="95">
        <f>'DOE25'!I28</f>
        <v>0</v>
      </c>
      <c r="G27" s="24" t="s">
        <v>288</v>
      </c>
      <c r="H27" s="124"/>
      <c r="I27" s="124"/>
    </row>
    <row r="28" spans="1:9" x14ac:dyDescent="0.2">
      <c r="A28" s="1" t="s">
        <v>157</v>
      </c>
      <c r="B28" s="6">
        <v>470</v>
      </c>
      <c r="C28" s="95">
        <f>'DOE25'!F29</f>
        <v>143324.32</v>
      </c>
      <c r="D28" s="95">
        <f>'DOE25'!G29</f>
        <v>0</v>
      </c>
      <c r="E28" s="95">
        <f>'DOE25'!H29</f>
        <v>0</v>
      </c>
      <c r="F28" s="95">
        <f>'DOE25'!I29</f>
        <v>0</v>
      </c>
      <c r="G28" s="24" t="s">
        <v>288</v>
      </c>
      <c r="H28" s="124"/>
      <c r="I28" s="124"/>
    </row>
    <row r="29" spans="1:9" x14ac:dyDescent="0.2">
      <c r="A29" s="1" t="s">
        <v>158</v>
      </c>
      <c r="B29" s="6">
        <v>480</v>
      </c>
      <c r="C29" s="95">
        <f>'DOE25'!F30</f>
        <v>22000</v>
      </c>
      <c r="D29" s="95">
        <f>'DOE25'!G30</f>
        <v>10671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760002.41999999993</v>
      </c>
      <c r="D31" s="41">
        <f>SUM(D21:D30)</f>
        <v>10727</v>
      </c>
      <c r="E31" s="41">
        <f>SUM(E21:E30)</f>
        <v>117194.21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195000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890893.09</v>
      </c>
      <c r="H47" s="124"/>
      <c r="I47" s="124"/>
    </row>
    <row r="48" spans="1:9" x14ac:dyDescent="0.2">
      <c r="A48" s="1" t="s">
        <v>882</v>
      </c>
      <c r="B48" s="6">
        <v>753</v>
      </c>
      <c r="C48" s="95">
        <f>'DOE25'!F49</f>
        <v>31279.119999999999</v>
      </c>
      <c r="D48" s="95">
        <f>'DOE25'!G49</f>
        <v>0</v>
      </c>
      <c r="E48" s="95">
        <f>'DOE25'!H49</f>
        <v>0</v>
      </c>
      <c r="F48" s="95">
        <f>'DOE25'!I49</f>
        <v>0</v>
      </c>
      <c r="G48" s="95">
        <f>'DOE25'!J49</f>
        <v>0</v>
      </c>
      <c r="H48" s="124"/>
      <c r="I48" s="124"/>
    </row>
    <row r="49" spans="1:9" ht="12" thickBot="1" x14ac:dyDescent="0.25">
      <c r="A49" s="29" t="s">
        <v>883</v>
      </c>
      <c r="B49" s="71">
        <v>770</v>
      </c>
      <c r="C49" s="95">
        <f>'DOE25'!F50</f>
        <v>285776.19999999995</v>
      </c>
      <c r="D49" s="24" t="s">
        <v>288</v>
      </c>
      <c r="E49" s="24" t="s">
        <v>288</v>
      </c>
      <c r="F49" s="24" t="s">
        <v>288</v>
      </c>
      <c r="G49" s="24" t="s">
        <v>288</v>
      </c>
      <c r="H49" s="124"/>
      <c r="I49" s="124"/>
    </row>
    <row r="50" spans="1:9" ht="12.75" thickTop="1" thickBot="1" x14ac:dyDescent="0.25">
      <c r="A50" s="38" t="s">
        <v>884</v>
      </c>
      <c r="B50" s="48"/>
      <c r="C50" s="41">
        <f>SUM(C34:C49)</f>
        <v>587055.31999999995</v>
      </c>
      <c r="D50" s="41">
        <f>SUM(D34:D49)</f>
        <v>0</v>
      </c>
      <c r="E50" s="41">
        <f>SUM(E34:E49)</f>
        <v>0</v>
      </c>
      <c r="F50" s="41">
        <f>SUM(F34:F49)</f>
        <v>0</v>
      </c>
      <c r="G50" s="41">
        <f>SUM(G34:G49)</f>
        <v>890893.09</v>
      </c>
      <c r="H50" s="124"/>
      <c r="I50" s="124"/>
    </row>
    <row r="51" spans="1:9" ht="12" thickTop="1" x14ac:dyDescent="0.2">
      <c r="A51" s="38" t="s">
        <v>885</v>
      </c>
      <c r="B51" s="2"/>
      <c r="C51" s="41">
        <f>C50+C31</f>
        <v>1347057.7399999998</v>
      </c>
      <c r="D51" s="41">
        <f>D50+D31</f>
        <v>10727</v>
      </c>
      <c r="E51" s="41">
        <f>E50+E31</f>
        <v>117194.21</v>
      </c>
      <c r="F51" s="41">
        <f>F50+F31</f>
        <v>0</v>
      </c>
      <c r="G51" s="41">
        <f>G50+G31</f>
        <v>890893.09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15412433</v>
      </c>
      <c r="D56" s="95">
        <f>'DOE25'!G60</f>
        <v>0</v>
      </c>
      <c r="E56" s="95">
        <f>'DOE25'!H60</f>
        <v>0</v>
      </c>
      <c r="F56" s="95">
        <f>'DOE25'!I60</f>
        <v>0</v>
      </c>
      <c r="G56" s="95">
        <f>'DOE25'!J60</f>
        <v>0</v>
      </c>
      <c r="H56"/>
      <c r="I56"/>
    </row>
    <row r="57" spans="1:9" x14ac:dyDescent="0.2">
      <c r="A57" s="1" t="s">
        <v>164</v>
      </c>
      <c r="B57" s="6" t="s">
        <v>165</v>
      </c>
      <c r="C57" s="95">
        <f>'DOE25'!F79</f>
        <v>188665.59000000003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148.37</v>
      </c>
      <c r="D59" s="95">
        <f>'DOE25'!G96</f>
        <v>0</v>
      </c>
      <c r="E59" s="95">
        <f>'DOE25'!H96</f>
        <v>0</v>
      </c>
      <c r="F59" s="95">
        <f>'DOE25'!I96</f>
        <v>0</v>
      </c>
      <c r="G59" s="95">
        <f>'DOE25'!J96</f>
        <v>49680.66</v>
      </c>
      <c r="H59"/>
      <c r="I59"/>
    </row>
    <row r="60" spans="1:9" x14ac:dyDescent="0.2">
      <c r="A60" s="1" t="s">
        <v>170</v>
      </c>
      <c r="B60" s="118" t="s">
        <v>171</v>
      </c>
      <c r="C60" s="24" t="s">
        <v>288</v>
      </c>
      <c r="D60" s="95">
        <f>'DOE25'!G97</f>
        <v>257627.29</v>
      </c>
      <c r="E60" s="24" t="s">
        <v>288</v>
      </c>
      <c r="F60" s="24" t="s">
        <v>288</v>
      </c>
      <c r="G60" s="24" t="s">
        <v>288</v>
      </c>
      <c r="H60"/>
      <c r="I60"/>
    </row>
    <row r="61" spans="1:9" ht="12" thickBot="1" x14ac:dyDescent="0.25">
      <c r="A61" s="1" t="s">
        <v>172</v>
      </c>
      <c r="B61" s="118" t="s">
        <v>173</v>
      </c>
      <c r="C61" s="95">
        <f>SUM('DOE25'!F98:F110)</f>
        <v>270984.89</v>
      </c>
      <c r="D61" s="95">
        <f>SUM('DOE25'!G98:G110)</f>
        <v>18848.55</v>
      </c>
      <c r="E61" s="95">
        <f>SUM('DOE25'!H98:H110)</f>
        <v>500</v>
      </c>
      <c r="F61" s="95">
        <f>SUM('DOE25'!I98:I110)</f>
        <v>0</v>
      </c>
      <c r="G61" s="95">
        <f>SUM('DOE25'!J98:J110)</f>
        <v>0</v>
      </c>
      <c r="H61"/>
      <c r="I61"/>
    </row>
    <row r="62" spans="1:9" ht="12.75" thickTop="1" thickBot="1" x14ac:dyDescent="0.25">
      <c r="A62" s="29" t="s">
        <v>174</v>
      </c>
      <c r="B62" s="6"/>
      <c r="C62" s="130">
        <f>SUM(C57:C61)</f>
        <v>459798.85000000003</v>
      </c>
      <c r="D62" s="130">
        <f>SUM(D57:D61)</f>
        <v>276475.84000000003</v>
      </c>
      <c r="E62" s="130">
        <f>SUM(E57:E61)</f>
        <v>500</v>
      </c>
      <c r="F62" s="130">
        <f>SUM(F57:F61)</f>
        <v>0</v>
      </c>
      <c r="G62" s="130">
        <f>SUM(G57:G61)</f>
        <v>49680.66</v>
      </c>
      <c r="H62"/>
      <c r="I62"/>
    </row>
    <row r="63" spans="1:9" ht="12" thickTop="1" x14ac:dyDescent="0.2">
      <c r="A63" s="29" t="s">
        <v>175</v>
      </c>
      <c r="B63" s="6"/>
      <c r="C63" s="22">
        <f>C56+C62</f>
        <v>15872231.85</v>
      </c>
      <c r="D63" s="22">
        <f>D56+D62</f>
        <v>276475.84000000003</v>
      </c>
      <c r="E63" s="22">
        <f>E56+E62</f>
        <v>500</v>
      </c>
      <c r="F63" s="22">
        <f>F56+F62</f>
        <v>0</v>
      </c>
      <c r="G63" s="22">
        <f>G56+G62</f>
        <v>49680.66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4897301.7</v>
      </c>
      <c r="D66" s="24" t="s">
        <v>288</v>
      </c>
      <c r="E66" s="24" t="s">
        <v>288</v>
      </c>
      <c r="F66" s="24" t="s">
        <v>288</v>
      </c>
      <c r="G66" s="24" t="s">
        <v>288</v>
      </c>
      <c r="H66"/>
      <c r="I66"/>
    </row>
    <row r="67" spans="1:9" x14ac:dyDescent="0.2">
      <c r="A67" s="1" t="s">
        <v>770</v>
      </c>
      <c r="B67" s="6">
        <v>3112</v>
      </c>
      <c r="C67" s="95">
        <f>'DOE25'!F118</f>
        <v>2032764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12438.59</v>
      </c>
      <c r="D69" s="95">
        <f>'DOE25'!G120</f>
        <v>0</v>
      </c>
      <c r="E69" s="95">
        <f>'DOE25'!H120</f>
        <v>0</v>
      </c>
      <c r="F69" s="95">
        <f>'DOE25'!I120</f>
        <v>0</v>
      </c>
      <c r="G69" s="95">
        <f>'DOE25'!J120</f>
        <v>0</v>
      </c>
      <c r="H69"/>
      <c r="I69"/>
    </row>
    <row r="70" spans="1:9" ht="12" thickTop="1" x14ac:dyDescent="0.2">
      <c r="A70" s="29" t="s">
        <v>252</v>
      </c>
      <c r="B70" s="2"/>
      <c r="C70" s="139">
        <f>SUM(C66:C69)</f>
        <v>6942504.29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325149.26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77339.899999999994</v>
      </c>
      <c r="D74" s="24"/>
      <c r="E74" s="24"/>
      <c r="F74" s="24"/>
      <c r="G74" s="24"/>
      <c r="H74"/>
      <c r="I74"/>
    </row>
    <row r="75" spans="1:9" x14ac:dyDescent="0.2">
      <c r="A75" s="1" t="s">
        <v>256</v>
      </c>
      <c r="B75" s="6">
        <v>3230</v>
      </c>
      <c r="C75" s="95">
        <f>'DOE25'!F126</f>
        <v>143750.26999999999</v>
      </c>
      <c r="D75" s="24" t="s">
        <v>288</v>
      </c>
      <c r="E75" s="24" t="s">
        <v>288</v>
      </c>
      <c r="F75" s="24" t="s">
        <v>288</v>
      </c>
      <c r="G75" s="24" t="s">
        <v>288</v>
      </c>
      <c r="H75"/>
      <c r="I75"/>
    </row>
    <row r="76" spans="1:9" x14ac:dyDescent="0.2">
      <c r="A76" s="1" t="s">
        <v>257</v>
      </c>
      <c r="B76" s="6" t="s">
        <v>179</v>
      </c>
      <c r="C76" s="95">
        <f>SUM('DOE25'!F127:F130)</f>
        <v>19283.599999999999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7097.78</v>
      </c>
      <c r="E77" s="95">
        <f>SUM('DOE25'!H131:H135)</f>
        <v>91993.600000000006</v>
      </c>
      <c r="F77" s="95">
        <f>SUM('DOE25'!I131:I135)</f>
        <v>0</v>
      </c>
      <c r="G77" s="95">
        <f>SUM('DOE25'!J131:J135)</f>
        <v>0</v>
      </c>
      <c r="H77"/>
      <c r="I77"/>
    </row>
    <row r="78" spans="1:9" ht="12.75" thickTop="1" thickBot="1" x14ac:dyDescent="0.25">
      <c r="A78" s="29" t="s">
        <v>259</v>
      </c>
      <c r="B78" s="6"/>
      <c r="C78" s="130">
        <f>SUM(C72:C77)</f>
        <v>565523.03</v>
      </c>
      <c r="D78" s="130">
        <f>SUM(D72:D77)</f>
        <v>7097.78</v>
      </c>
      <c r="E78" s="130">
        <f>SUM(E72:E77)</f>
        <v>91993.600000000006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7508027.3200000003</v>
      </c>
      <c r="D81" s="130">
        <f>SUM(D79:D80)+D78+D70</f>
        <v>7097.78</v>
      </c>
      <c r="E81" s="130">
        <f>SUM(E79:E80)+E78+E70</f>
        <v>91993.600000000006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237625.74</v>
      </c>
      <c r="D88" s="95">
        <f>SUM('DOE25'!G153:G161)</f>
        <v>192520.11</v>
      </c>
      <c r="E88" s="95">
        <f>SUM('DOE25'!H153:H161)</f>
        <v>961072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237625.74</v>
      </c>
      <c r="D91" s="131">
        <f>SUM(D85:D90)</f>
        <v>192520.11</v>
      </c>
      <c r="E91" s="131">
        <f>SUM(E85:E90)</f>
        <v>961072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81797.55</v>
      </c>
      <c r="E96" s="95">
        <f>'DOE25'!H179</f>
        <v>0</v>
      </c>
      <c r="F96" s="95">
        <f>'DOE25'!I179</f>
        <v>0</v>
      </c>
      <c r="G96" s="95">
        <f>'DOE25'!J179</f>
        <v>285400</v>
      </c>
    </row>
    <row r="97" spans="1:7" x14ac:dyDescent="0.2">
      <c r="A97" t="s">
        <v>754</v>
      </c>
      <c r="B97" s="32" t="s">
        <v>188</v>
      </c>
      <c r="C97" s="95">
        <f>SUM('DOE25'!F180:F181)</f>
        <v>18792.05</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18792.05</v>
      </c>
      <c r="D103" s="86">
        <f>SUM(D93:D102)</f>
        <v>81797.55</v>
      </c>
      <c r="E103" s="86">
        <f>SUM(E93:E102)</f>
        <v>0</v>
      </c>
      <c r="F103" s="86">
        <f>SUM(F93:F102)</f>
        <v>0</v>
      </c>
      <c r="G103" s="86">
        <f>SUM(G93:G102)</f>
        <v>285400</v>
      </c>
    </row>
    <row r="104" spans="1:7" ht="12.75" thickTop="1" thickBot="1" x14ac:dyDescent="0.25">
      <c r="A104" s="33" t="s">
        <v>761</v>
      </c>
      <c r="C104" s="86">
        <f>C63+C81+C91+C103</f>
        <v>23636676.960000001</v>
      </c>
      <c r="D104" s="86">
        <f>D63+D81+D91+D103</f>
        <v>557891.28</v>
      </c>
      <c r="E104" s="86">
        <f>E63+E81+E91+E103</f>
        <v>1053565.6000000001</v>
      </c>
      <c r="F104" s="86">
        <f>F63+F81+F91+F103</f>
        <v>0</v>
      </c>
      <c r="G104" s="86">
        <f>G63+G81+G103</f>
        <v>335080.66000000003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8524894.6199999992</v>
      </c>
      <c r="D109" s="24" t="s">
        <v>288</v>
      </c>
      <c r="E109" s="95">
        <f>('DOE25'!L276)+('DOE25'!L295)+('DOE25'!L314)</f>
        <v>245521.58000000002</v>
      </c>
      <c r="F109" s="24" t="s">
        <v>288</v>
      </c>
      <c r="G109" s="24" t="s">
        <v>288</v>
      </c>
    </row>
    <row r="110" spans="1:7" x14ac:dyDescent="0.2">
      <c r="A110" t="s">
        <v>198</v>
      </c>
      <c r="B110" s="32" t="s">
        <v>199</v>
      </c>
      <c r="C110" s="95">
        <f>('DOE25'!L198)+('DOE25'!L216)+('DOE25'!L234)</f>
        <v>5787430.7599999998</v>
      </c>
      <c r="D110" s="24" t="s">
        <v>288</v>
      </c>
      <c r="E110" s="95">
        <f>('DOE25'!L277)+('DOE25'!L296)+('DOE25'!L315)</f>
        <v>250106.04</v>
      </c>
      <c r="F110" s="24" t="s">
        <v>288</v>
      </c>
      <c r="G110" s="24" t="s">
        <v>288</v>
      </c>
    </row>
    <row r="111" spans="1:7" x14ac:dyDescent="0.2">
      <c r="A111" t="s">
        <v>200</v>
      </c>
      <c r="B111" s="32" t="s">
        <v>165</v>
      </c>
      <c r="C111" s="95">
        <f>('DOE25'!L199)+('DOE25'!L217)+('DOE25'!L235)</f>
        <v>124152</v>
      </c>
      <c r="D111" s="24" t="s">
        <v>288</v>
      </c>
      <c r="E111" s="95">
        <f>('DOE25'!L278)+('DOE25'!L297)+('DOE25'!L316)</f>
        <v>0</v>
      </c>
      <c r="F111" s="24" t="s">
        <v>288</v>
      </c>
      <c r="G111" s="24" t="s">
        <v>288</v>
      </c>
    </row>
    <row r="112" spans="1:7" x14ac:dyDescent="0.2">
      <c r="A112" t="s">
        <v>201</v>
      </c>
      <c r="B112" s="32" t="s">
        <v>167</v>
      </c>
      <c r="C112" s="95">
        <f>('DOE25'!L200)+('DOE25'!L218)+('DOE25'!L236)</f>
        <v>353474.39</v>
      </c>
      <c r="D112" s="24" t="s">
        <v>288</v>
      </c>
      <c r="E112" s="95">
        <f>+('DOE25'!L279)+('DOE25'!L298)+('DOE25'!L317)</f>
        <v>178221.97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22998.400000000001</v>
      </c>
      <c r="D114" s="24" t="s">
        <v>288</v>
      </c>
      <c r="E114" s="95">
        <f>+ SUM('DOE25'!L333:L335)</f>
        <v>0</v>
      </c>
      <c r="F114" s="24" t="s">
        <v>288</v>
      </c>
      <c r="G114" s="24" t="s">
        <v>288</v>
      </c>
    </row>
    <row r="115" spans="1:7" ht="12.75" thickTop="1" thickBot="1" x14ac:dyDescent="0.25">
      <c r="A115" s="33" t="s">
        <v>205</v>
      </c>
      <c r="C115" s="86">
        <f>SUM(C109:C114)</f>
        <v>14812950.17</v>
      </c>
      <c r="D115" s="86">
        <f>SUM(D109:D114)</f>
        <v>0</v>
      </c>
      <c r="E115" s="86">
        <f>SUM(E109:E114)</f>
        <v>673849.59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1280130.5899999999</v>
      </c>
      <c r="D118" s="24" t="s">
        <v>288</v>
      </c>
      <c r="E118" s="95">
        <f>+('DOE25'!L281)+('DOE25'!L300)+('DOE25'!L319)</f>
        <v>190907.63</v>
      </c>
      <c r="F118" s="24" t="s">
        <v>288</v>
      </c>
      <c r="G118" s="24" t="s">
        <v>288</v>
      </c>
    </row>
    <row r="119" spans="1:7" x14ac:dyDescent="0.2">
      <c r="A119" t="s">
        <v>208</v>
      </c>
      <c r="B119" s="32" t="s">
        <v>209</v>
      </c>
      <c r="C119" s="95">
        <f>('DOE25'!L203)+('DOE25'!L221)+('DOE25'!L239)</f>
        <v>749712.11</v>
      </c>
      <c r="D119" s="24" t="s">
        <v>288</v>
      </c>
      <c r="E119" s="95">
        <f>+('DOE25'!L282)+('DOE25'!L301)+('DOE25'!L320)</f>
        <v>61597.399000000005</v>
      </c>
      <c r="F119" s="24" t="s">
        <v>288</v>
      </c>
      <c r="G119" s="24" t="s">
        <v>288</v>
      </c>
    </row>
    <row r="120" spans="1:7" x14ac:dyDescent="0.2">
      <c r="A120" t="s">
        <v>210</v>
      </c>
      <c r="B120" s="32" t="s">
        <v>211</v>
      </c>
      <c r="C120" s="95">
        <f>('DOE25'!L204)+('DOE25'!L222)+('DOE25'!L240)</f>
        <v>786376.34000000008</v>
      </c>
      <c r="D120" s="24" t="s">
        <v>288</v>
      </c>
      <c r="E120" s="95">
        <f>+('DOE25'!L283)+('DOE25'!L302)+('DOE25'!L321)</f>
        <v>16425.330000000002</v>
      </c>
      <c r="F120" s="24" t="s">
        <v>288</v>
      </c>
      <c r="G120" s="24" t="s">
        <v>288</v>
      </c>
    </row>
    <row r="121" spans="1:7" x14ac:dyDescent="0.2">
      <c r="A121" t="s">
        <v>212</v>
      </c>
      <c r="B121" s="32" t="s">
        <v>213</v>
      </c>
      <c r="C121" s="95">
        <f>('DOE25'!L205)+('DOE25'!L223)+('DOE25'!L241)</f>
        <v>1393514.71</v>
      </c>
      <c r="D121" s="24" t="s">
        <v>288</v>
      </c>
      <c r="E121" s="95">
        <f>+('DOE25'!L284)+('DOE25'!L303)+('DOE25'!L322)</f>
        <v>0</v>
      </c>
      <c r="F121" s="24" t="s">
        <v>288</v>
      </c>
      <c r="G121" s="24" t="s">
        <v>288</v>
      </c>
    </row>
    <row r="122" spans="1:7" x14ac:dyDescent="0.2">
      <c r="A122" t="s">
        <v>214</v>
      </c>
      <c r="B122" s="32" t="s">
        <v>215</v>
      </c>
      <c r="C122" s="95">
        <f>('DOE25'!L206)+('DOE25'!L224)+('DOE25'!L242)</f>
        <v>270719.81</v>
      </c>
      <c r="D122" s="24" t="s">
        <v>288</v>
      </c>
      <c r="E122" s="95">
        <f>+('DOE25'!L285)+('DOE25'!L304)+('DOE25'!L323)</f>
        <v>0</v>
      </c>
      <c r="F122" s="24" t="s">
        <v>288</v>
      </c>
      <c r="G122" s="24" t="s">
        <v>288</v>
      </c>
    </row>
    <row r="123" spans="1:7" x14ac:dyDescent="0.2">
      <c r="A123" t="s">
        <v>216</v>
      </c>
      <c r="B123" s="32" t="s">
        <v>217</v>
      </c>
      <c r="C123" s="95">
        <f>('DOE25'!L207)+('DOE25'!L225)+('DOE25'!L243)</f>
        <v>1864056.0900000003</v>
      </c>
      <c r="D123" s="24" t="s">
        <v>288</v>
      </c>
      <c r="E123" s="95">
        <f>+('DOE25'!L286)+('DOE25'!L305)+('DOE25'!L324)</f>
        <v>91993.600000000006</v>
      </c>
      <c r="F123" s="24" t="s">
        <v>288</v>
      </c>
      <c r="G123" s="24" t="s">
        <v>288</v>
      </c>
    </row>
    <row r="124" spans="1:7" x14ac:dyDescent="0.2">
      <c r="A124" t="s">
        <v>218</v>
      </c>
      <c r="B124" s="32" t="s">
        <v>219</v>
      </c>
      <c r="C124" s="95">
        <f>('DOE25'!L208)+('DOE25'!L226)+('DOE25'!L244+'DOE25'!L254)</f>
        <v>863635.86</v>
      </c>
      <c r="D124" s="24" t="s">
        <v>288</v>
      </c>
      <c r="E124" s="95">
        <f>+('DOE25'!L287)+('DOE25'!L306)+('DOE25'!L325)</f>
        <v>0</v>
      </c>
      <c r="F124" s="24" t="s">
        <v>288</v>
      </c>
      <c r="G124" s="24" t="s">
        <v>288</v>
      </c>
    </row>
    <row r="125" spans="1:7" x14ac:dyDescent="0.2">
      <c r="A125" t="s">
        <v>220</v>
      </c>
      <c r="B125" s="32" t="s">
        <v>221</v>
      </c>
      <c r="C125" s="95">
        <f>('DOE25'!L209)+('DOE25'!L227)+('DOE25'!L245)</f>
        <v>1803.7999999999997</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557891.28</v>
      </c>
      <c r="E127" s="24" t="s">
        <v>288</v>
      </c>
      <c r="F127" s="24" t="s">
        <v>288</v>
      </c>
      <c r="G127" s="24" t="s">
        <v>288</v>
      </c>
    </row>
    <row r="128" spans="1:7" ht="12.75" thickTop="1" thickBot="1" x14ac:dyDescent="0.25">
      <c r="A128" s="33" t="s">
        <v>226</v>
      </c>
      <c r="C128" s="86">
        <f>SUM(C118:C127)</f>
        <v>7209949.3100000005</v>
      </c>
      <c r="D128" s="86">
        <f>SUM(D118:D127)</f>
        <v>557891.28</v>
      </c>
      <c r="E128" s="86">
        <f>SUM(E118:E127)</f>
        <v>360923.95900000003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3375</v>
      </c>
      <c r="D130" s="24" t="s">
        <v>288</v>
      </c>
      <c r="E130" s="129">
        <f>'DOE25'!L336</f>
        <v>0</v>
      </c>
      <c r="F130" s="129">
        <f>SUM('DOE25'!L374:'DOE25'!L380)</f>
        <v>0</v>
      </c>
      <c r="G130" s="24" t="s">
        <v>288</v>
      </c>
    </row>
    <row r="131" spans="1:7" x14ac:dyDescent="0.2">
      <c r="A131" t="s">
        <v>229</v>
      </c>
      <c r="B131" s="32">
        <v>5110</v>
      </c>
      <c r="C131" s="95">
        <f>'DOE25'!L260</f>
        <v>673499.15</v>
      </c>
      <c r="D131" s="24" t="s">
        <v>288</v>
      </c>
      <c r="E131" s="129">
        <f>'DOE25'!L341</f>
        <v>0</v>
      </c>
      <c r="F131" s="24" t="s">
        <v>288</v>
      </c>
      <c r="G131" s="24" t="s">
        <v>288</v>
      </c>
    </row>
    <row r="132" spans="1:7" x14ac:dyDescent="0.2">
      <c r="A132" t="s">
        <v>230</v>
      </c>
      <c r="B132" s="32">
        <v>5120</v>
      </c>
      <c r="C132" s="95">
        <f>'DOE25'!L261</f>
        <v>428603.35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18792.05</v>
      </c>
      <c r="F134" s="95">
        <f>'DOE25'!K381</f>
        <v>0</v>
      </c>
      <c r="G134" s="95">
        <f>'DOE25'!K434</f>
        <v>0</v>
      </c>
    </row>
    <row r="135" spans="1:7" x14ac:dyDescent="0.2">
      <c r="A135" t="s">
        <v>233</v>
      </c>
      <c r="B135" s="32" t="s">
        <v>234</v>
      </c>
      <c r="C135" s="95">
        <f>'DOE25'!L263</f>
        <v>81797.55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332378.01999999996</v>
      </c>
      <c r="D139" s="24" t="s">
        <v>288</v>
      </c>
      <c r="E139" s="24" t="s">
        <v>288</v>
      </c>
      <c r="F139" s="24" t="s">
        <v>288</v>
      </c>
      <c r="G139" s="24" t="s">
        <v>288</v>
      </c>
    </row>
    <row r="140" spans="1:7" x14ac:dyDescent="0.2">
      <c r="A140" t="s">
        <v>240</v>
      </c>
      <c r="B140" s="32">
        <v>5253</v>
      </c>
      <c r="C140" s="95">
        <f>'DOE25'!L407</f>
        <v>2702.64</v>
      </c>
      <c r="D140" s="24" t="s">
        <v>288</v>
      </c>
      <c r="E140" s="24" t="s">
        <v>288</v>
      </c>
      <c r="F140" s="24" t="s">
        <v>288</v>
      </c>
      <c r="G140" s="24" t="s">
        <v>288</v>
      </c>
    </row>
    <row r="141" spans="1:7" x14ac:dyDescent="0.2">
      <c r="A141" t="s">
        <v>762</v>
      </c>
      <c r="B141" s="32">
        <v>5254</v>
      </c>
      <c r="C141" s="95">
        <f>('DOE25'!L266+'DOE25'!K347) - (C138+C139+C140)</f>
        <v>-49680.659999999974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1472675.05</v>
      </c>
      <c r="D144" s="141">
        <f>SUM(D130:D143)</f>
        <v>0</v>
      </c>
      <c r="E144" s="141">
        <f>SUM(E130:E143)</f>
        <v>18792.05</v>
      </c>
      <c r="F144" s="141">
        <f>SUM(F130:F143)</f>
        <v>0</v>
      </c>
      <c r="G144" s="141">
        <f>SUM(G130:G143)</f>
        <v>0</v>
      </c>
    </row>
    <row r="145" spans="1:9" ht="12.75" thickTop="1" thickBot="1" x14ac:dyDescent="0.25">
      <c r="A145" s="33" t="s">
        <v>244</v>
      </c>
      <c r="C145" s="86">
        <f>(C115+C128+C144)</f>
        <v>23495574.530000001</v>
      </c>
      <c r="D145" s="86">
        <f>(D115+D128+D144)</f>
        <v>557891.28</v>
      </c>
      <c r="E145" s="86">
        <f>(E115+E128+E144)</f>
        <v>1053565.5989999999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10</v>
      </c>
      <c r="D151" s="153">
        <f>'DOE25'!H490</f>
        <v>0</v>
      </c>
      <c r="E151" s="153">
        <f>'DOE25'!I490</f>
        <v>0</v>
      </c>
      <c r="F151" s="153">
        <f>'DOE25'!J490</f>
        <v>0</v>
      </c>
      <c r="G151" s="24" t="s">
        <v>288</v>
      </c>
    </row>
    <row r="152" spans="1:9" x14ac:dyDescent="0.2">
      <c r="A152" s="136" t="s">
        <v>28</v>
      </c>
      <c r="B152" s="152" t="str">
        <f>'DOE25'!F491</f>
        <v>8/05</v>
      </c>
      <c r="C152" s="152" t="str">
        <f>'DOE25'!G491</f>
        <v>8/14</v>
      </c>
      <c r="D152" s="152">
        <f>'DOE25'!H491</f>
        <v>0</v>
      </c>
      <c r="E152" s="152">
        <f>'DOE25'!I491</f>
        <v>0</v>
      </c>
      <c r="F152" s="152">
        <f>'DOE25'!J491</f>
        <v>0</v>
      </c>
      <c r="G152" s="24" t="s">
        <v>288</v>
      </c>
    </row>
    <row r="153" spans="1:9" x14ac:dyDescent="0.2">
      <c r="A153" s="136" t="s">
        <v>29</v>
      </c>
      <c r="B153" s="152" t="str">
        <f>'DOE25'!F492</f>
        <v>8/25</v>
      </c>
      <c r="C153" s="152" t="str">
        <f>'DOE25'!G492</f>
        <v>8/24</v>
      </c>
      <c r="D153" s="152">
        <f>'DOE25'!H492</f>
        <v>0</v>
      </c>
      <c r="E153" s="152">
        <f>'DOE25'!I492</f>
        <v>0</v>
      </c>
      <c r="F153" s="152">
        <f>'DOE25'!J492</f>
        <v>0</v>
      </c>
      <c r="G153" s="24" t="s">
        <v>288</v>
      </c>
    </row>
    <row r="154" spans="1:9" x14ac:dyDescent="0.2">
      <c r="A154" s="136" t="s">
        <v>30</v>
      </c>
      <c r="B154" s="137">
        <f>'DOE25'!F493</f>
        <v>13402490</v>
      </c>
      <c r="C154" s="137">
        <f>'DOE25'!G493</f>
        <v>1060000</v>
      </c>
      <c r="D154" s="137">
        <f>'DOE25'!H493</f>
        <v>0</v>
      </c>
      <c r="E154" s="137">
        <f>'DOE25'!I493</f>
        <v>0</v>
      </c>
      <c r="F154" s="137">
        <f>'DOE25'!J493</f>
        <v>0</v>
      </c>
      <c r="G154" s="24" t="s">
        <v>288</v>
      </c>
    </row>
    <row r="155" spans="1:9" x14ac:dyDescent="0.2">
      <c r="A155" s="136" t="s">
        <v>31</v>
      </c>
      <c r="B155" s="137">
        <f>'DOE25'!F494</f>
        <v>4.12</v>
      </c>
      <c r="C155" s="137">
        <f>'DOE25'!G494</f>
        <v>5.0999999999999996</v>
      </c>
      <c r="D155" s="137">
        <f>'DOE25'!H494</f>
        <v>0</v>
      </c>
      <c r="E155" s="137">
        <f>'DOE25'!I494</f>
        <v>0</v>
      </c>
      <c r="F155" s="137">
        <f>'DOE25'!J494</f>
        <v>0</v>
      </c>
      <c r="G155" s="24" t="s">
        <v>288</v>
      </c>
    </row>
    <row r="156" spans="1:9" x14ac:dyDescent="0.2">
      <c r="A156" s="22" t="s">
        <v>32</v>
      </c>
      <c r="B156" s="137">
        <f>'DOE25'!F495</f>
        <v>3878686.05</v>
      </c>
      <c r="C156" s="137">
        <f>'DOE25'!G495</f>
        <v>735000</v>
      </c>
      <c r="D156" s="137">
        <f>'DOE25'!H495</f>
        <v>0</v>
      </c>
      <c r="E156" s="137">
        <f>'DOE25'!I495</f>
        <v>0</v>
      </c>
      <c r="F156" s="137">
        <f>'DOE25'!J495</f>
        <v>0</v>
      </c>
      <c r="G156" s="138">
        <f>SUM(B156:F156)</f>
        <v>4613686.05</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568499.14999999991</v>
      </c>
      <c r="C158" s="137">
        <f>'DOE25'!G497</f>
        <v>105000</v>
      </c>
      <c r="D158" s="137">
        <f>'DOE25'!H497</f>
        <v>0</v>
      </c>
      <c r="E158" s="137">
        <f>'DOE25'!I497</f>
        <v>0</v>
      </c>
      <c r="F158" s="137">
        <f>'DOE25'!J497</f>
        <v>0</v>
      </c>
      <c r="G158" s="138">
        <f t="shared" si="0"/>
        <v>673499.14999999991</v>
      </c>
    </row>
    <row r="159" spans="1:9" x14ac:dyDescent="0.2">
      <c r="A159" s="22" t="s">
        <v>35</v>
      </c>
      <c r="B159" s="137">
        <f>'DOE25'!F498</f>
        <v>3310186.9</v>
      </c>
      <c r="C159" s="137">
        <f>'DOE25'!G498</f>
        <v>630000</v>
      </c>
      <c r="D159" s="137">
        <f>'DOE25'!H498</f>
        <v>0</v>
      </c>
      <c r="E159" s="137">
        <f>'DOE25'!I498</f>
        <v>0</v>
      </c>
      <c r="F159" s="137">
        <f>'DOE25'!J498</f>
        <v>0</v>
      </c>
      <c r="G159" s="138">
        <f t="shared" si="0"/>
        <v>3940186.9</v>
      </c>
    </row>
    <row r="160" spans="1:9" x14ac:dyDescent="0.2">
      <c r="A160" s="22" t="s">
        <v>36</v>
      </c>
      <c r="B160" s="137">
        <f>'DOE25'!F499</f>
        <v>3491958.1</v>
      </c>
      <c r="C160" s="137">
        <f>'DOE25'!G499</f>
        <v>96390</v>
      </c>
      <c r="D160" s="137">
        <f>'DOE25'!H499</f>
        <v>0</v>
      </c>
      <c r="E160" s="137">
        <f>'DOE25'!I499</f>
        <v>0</v>
      </c>
      <c r="F160" s="137">
        <f>'DOE25'!J499</f>
        <v>0</v>
      </c>
      <c r="G160" s="138">
        <f t="shared" si="0"/>
        <v>3588348.1</v>
      </c>
    </row>
    <row r="161" spans="1:7" x14ac:dyDescent="0.2">
      <c r="A161" s="22" t="s">
        <v>37</v>
      </c>
      <c r="B161" s="137">
        <f>'DOE25'!F500</f>
        <v>6802145</v>
      </c>
      <c r="C161" s="137">
        <f>'DOE25'!G500</f>
        <v>726390</v>
      </c>
      <c r="D161" s="137">
        <f>'DOE25'!H500</f>
        <v>0</v>
      </c>
      <c r="E161" s="137">
        <f>'DOE25'!I500</f>
        <v>0</v>
      </c>
      <c r="F161" s="137">
        <f>'DOE25'!J500</f>
        <v>0</v>
      </c>
      <c r="G161" s="138">
        <f t="shared" si="0"/>
        <v>7528535</v>
      </c>
    </row>
    <row r="162" spans="1:7" x14ac:dyDescent="0.2">
      <c r="A162" s="22" t="s">
        <v>38</v>
      </c>
      <c r="B162" s="137">
        <f>'DOE25'!F501</f>
        <v>543382.44999999995</v>
      </c>
      <c r="C162" s="137">
        <f>'DOE25'!G501</f>
        <v>105000</v>
      </c>
      <c r="D162" s="137">
        <f>'DOE25'!H501</f>
        <v>0</v>
      </c>
      <c r="E162" s="137">
        <f>'DOE25'!I501</f>
        <v>0</v>
      </c>
      <c r="F162" s="137">
        <f>'DOE25'!J501</f>
        <v>0</v>
      </c>
      <c r="G162" s="138">
        <f t="shared" si="0"/>
        <v>648382.44999999995</v>
      </c>
    </row>
    <row r="163" spans="1:7" x14ac:dyDescent="0.2">
      <c r="A163" s="22" t="s">
        <v>39</v>
      </c>
      <c r="B163" s="137">
        <f>'DOE25'!F502</f>
        <v>417861.3</v>
      </c>
      <c r="C163" s="137">
        <f>'DOE25'!G502</f>
        <v>29452.5</v>
      </c>
      <c r="D163" s="137">
        <f>'DOE25'!H502</f>
        <v>0</v>
      </c>
      <c r="E163" s="137">
        <f>'DOE25'!I502</f>
        <v>0</v>
      </c>
      <c r="F163" s="137">
        <f>'DOE25'!J502</f>
        <v>0</v>
      </c>
      <c r="G163" s="138">
        <f t="shared" si="0"/>
        <v>447313.8</v>
      </c>
    </row>
    <row r="164" spans="1:7" x14ac:dyDescent="0.2">
      <c r="A164" s="22" t="s">
        <v>246</v>
      </c>
      <c r="B164" s="137">
        <f>'DOE25'!F503</f>
        <v>961243.75</v>
      </c>
      <c r="C164" s="137">
        <f>'DOE25'!G503</f>
        <v>134452.5</v>
      </c>
      <c r="D164" s="137">
        <f>'DOE25'!H503</f>
        <v>0</v>
      </c>
      <c r="E164" s="137">
        <f>'DOE25'!I503</f>
        <v>0</v>
      </c>
      <c r="F164" s="137">
        <f>'DOE25'!J503</f>
        <v>0</v>
      </c>
      <c r="G164" s="138">
        <f t="shared" si="0"/>
        <v>1095696.25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Raymond School District</v>
      </c>
    </row>
    <row r="3" spans="1:4" x14ac:dyDescent="0.2">
      <c r="B3" s="188" t="s">
        <v>1602</v>
      </c>
    </row>
    <row r="4" spans="1:4" x14ac:dyDescent="0.2">
      <c r="B4" t="s">
        <v>61</v>
      </c>
      <c r="C4" s="179">
        <f>IF('DOE25'!F665+'DOE25'!F670=0,0,ROUND('DOE25'!F672,0))</f>
        <v>16090</v>
      </c>
    </row>
    <row r="5" spans="1:4" x14ac:dyDescent="0.2">
      <c r="B5" t="s">
        <v>700</v>
      </c>
      <c r="C5" s="179">
        <f>IF('DOE25'!G665+'DOE25'!G670=0,0,ROUND('DOE25'!G672,0))</f>
        <v>17396</v>
      </c>
    </row>
    <row r="6" spans="1:4" x14ac:dyDescent="0.2">
      <c r="B6" t="s">
        <v>62</v>
      </c>
      <c r="C6" s="179">
        <f>IF('DOE25'!H665+'DOE25'!H670=0,0,ROUND('DOE25'!H672,0))</f>
        <v>19508</v>
      </c>
    </row>
    <row r="7" spans="1:4" x14ac:dyDescent="0.2">
      <c r="B7" t="s">
        <v>701</v>
      </c>
      <c r="C7" s="179">
        <f>IF('DOE25'!I665+'DOE25'!I670=0,0,ROUND('DOE25'!I672,0))</f>
        <v>17492</v>
      </c>
    </row>
    <row r="9" spans="1:4" x14ac:dyDescent="0.2">
      <c r="A9" s="187" t="s">
        <v>94</v>
      </c>
      <c r="B9" s="188" t="s">
        <v>1603</v>
      </c>
      <c r="C9" s="181" t="s">
        <v>720</v>
      </c>
      <c r="D9" s="181" t="s">
        <v>721</v>
      </c>
    </row>
    <row r="10" spans="1:4" x14ac:dyDescent="0.2">
      <c r="A10">
        <v>1100</v>
      </c>
      <c r="B10" t="s">
        <v>702</v>
      </c>
      <c r="C10" s="179">
        <f>ROUND('DOE25'!L197+'DOE25'!L215+'DOE25'!L233+'DOE25'!L276+'DOE25'!L295+'DOE25'!L314,0)</f>
        <v>8770416</v>
      </c>
      <c r="D10" s="182">
        <f>ROUND((C10/$C$28)*100,1)</f>
        <v>36.9</v>
      </c>
    </row>
    <row r="11" spans="1:4" x14ac:dyDescent="0.2">
      <c r="A11">
        <v>1200</v>
      </c>
      <c r="B11" t="s">
        <v>703</v>
      </c>
      <c r="C11" s="179">
        <f>ROUND('DOE25'!L198+'DOE25'!L216+'DOE25'!L234+'DOE25'!L277+'DOE25'!L296+'DOE25'!L315,0)</f>
        <v>6037537</v>
      </c>
      <c r="D11" s="182">
        <f>ROUND((C11/$C$28)*100,1)</f>
        <v>25.4</v>
      </c>
    </row>
    <row r="12" spans="1:4" x14ac:dyDescent="0.2">
      <c r="A12">
        <v>1300</v>
      </c>
      <c r="B12" t="s">
        <v>704</v>
      </c>
      <c r="C12" s="179">
        <f>ROUND('DOE25'!L199+'DOE25'!L217+'DOE25'!L235+'DOE25'!L278+'DOE25'!L297+'DOE25'!L316,0)</f>
        <v>124152</v>
      </c>
      <c r="D12" s="182">
        <f>ROUND((C12/$C$28)*100,1)</f>
        <v>0.5</v>
      </c>
    </row>
    <row r="13" spans="1:4" x14ac:dyDescent="0.2">
      <c r="A13">
        <v>1400</v>
      </c>
      <c r="B13" t="s">
        <v>705</v>
      </c>
      <c r="C13" s="179">
        <f>ROUND('DOE25'!L200+'DOE25'!L218+'DOE25'!L236+'DOE25'!L279+'DOE25'!L298+'DOE25'!L317,0)</f>
        <v>531696</v>
      </c>
      <c r="D13" s="182">
        <f>ROUND((C13/$C$28)*100,1)</f>
        <v>2.2000000000000002</v>
      </c>
    </row>
    <row r="14" spans="1:4" x14ac:dyDescent="0.2">
      <c r="D14" s="182"/>
    </row>
    <row r="15" spans="1:4" x14ac:dyDescent="0.2">
      <c r="A15">
        <v>2100</v>
      </c>
      <c r="B15" t="s">
        <v>706</v>
      </c>
      <c r="C15" s="179">
        <f>ROUND('DOE25'!L202+'DOE25'!L220+'DOE25'!L238+'DOE25'!L281+'DOE25'!L300+'DOE25'!L319,0)</f>
        <v>1471038</v>
      </c>
      <c r="D15" s="182">
        <f t="shared" ref="D15:D27" si="0">ROUND((C15/$C$28)*100,1)</f>
        <v>6.2</v>
      </c>
    </row>
    <row r="16" spans="1:4" x14ac:dyDescent="0.2">
      <c r="A16">
        <v>2200</v>
      </c>
      <c r="B16" t="s">
        <v>707</v>
      </c>
      <c r="C16" s="179">
        <f>ROUND('DOE25'!L203+'DOE25'!L221+'DOE25'!L239+'DOE25'!L282+'DOE25'!L301+'DOE25'!L320,0)</f>
        <v>811310</v>
      </c>
      <c r="D16" s="182">
        <f t="shared" si="0"/>
        <v>3.4</v>
      </c>
    </row>
    <row r="17" spans="1:4" x14ac:dyDescent="0.2">
      <c r="A17" s="183" t="s">
        <v>723</v>
      </c>
      <c r="B17" t="s">
        <v>738</v>
      </c>
      <c r="C17" s="179">
        <f>ROUND('DOE25'!L204+'DOE25'!L209+'DOE25'!L222+'DOE25'!L227+'DOE25'!L240+'DOE25'!L245+'DOE25'!L283+'DOE25'!L288+'DOE25'!L302+'DOE25'!L307+'DOE25'!L321+'DOE25'!L326,0)</f>
        <v>804605</v>
      </c>
      <c r="D17" s="182">
        <f t="shared" si="0"/>
        <v>3.4</v>
      </c>
    </row>
    <row r="18" spans="1:4" x14ac:dyDescent="0.2">
      <c r="A18">
        <v>2400</v>
      </c>
      <c r="B18" t="s">
        <v>711</v>
      </c>
      <c r="C18" s="179">
        <f>ROUND('DOE25'!L205+'DOE25'!L223+'DOE25'!L241+'DOE25'!L284+'DOE25'!L303+'DOE25'!L322,0)</f>
        <v>1393515</v>
      </c>
      <c r="D18" s="182">
        <f t="shared" si="0"/>
        <v>5.9</v>
      </c>
    </row>
    <row r="19" spans="1:4" x14ac:dyDescent="0.2">
      <c r="A19">
        <v>2500</v>
      </c>
      <c r="B19" t="s">
        <v>708</v>
      </c>
      <c r="C19" s="179">
        <f>ROUND('DOE25'!L206+'DOE25'!L224+'DOE25'!L242+'DOE25'!L285+'DOE25'!L304+'DOE25'!L323,0)</f>
        <v>270720</v>
      </c>
      <c r="D19" s="182">
        <f t="shared" si="0"/>
        <v>1.1000000000000001</v>
      </c>
    </row>
    <row r="20" spans="1:4" x14ac:dyDescent="0.2">
      <c r="A20">
        <v>2600</v>
      </c>
      <c r="B20" t="s">
        <v>709</v>
      </c>
      <c r="C20" s="179">
        <f>ROUND('DOE25'!L207+'DOE25'!L225+'DOE25'!L243+'DOE25'!L286+'DOE25'!L305+'DOE25'!L324,0)</f>
        <v>1956050</v>
      </c>
      <c r="D20" s="182">
        <f t="shared" si="0"/>
        <v>8.1999999999999993</v>
      </c>
    </row>
    <row r="21" spans="1:4" x14ac:dyDescent="0.2">
      <c r="A21">
        <v>2700</v>
      </c>
      <c r="B21" t="s">
        <v>710</v>
      </c>
      <c r="C21" s="179">
        <f>ROUND('DOE25'!L208+'DOE25'!L226+'DOE25'!L244+'DOE25'!L287+'DOE25'!L306+'DOE25'!L325,0)</f>
        <v>863636</v>
      </c>
      <c r="D21" s="182">
        <f t="shared" si="0"/>
        <v>3.6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22998</v>
      </c>
      <c r="D24" s="182">
        <f t="shared" si="0"/>
        <v>0.1</v>
      </c>
    </row>
    <row r="25" spans="1:4" x14ac:dyDescent="0.2">
      <c r="A25">
        <v>5120</v>
      </c>
      <c r="B25" t="s">
        <v>716</v>
      </c>
      <c r="C25" s="179">
        <f>ROUND('DOE25'!L261+'DOE25'!L342,0)</f>
        <v>428603</v>
      </c>
      <c r="D25" s="182">
        <f t="shared" si="0"/>
        <v>1.8</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281415.15999999997</v>
      </c>
      <c r="D27" s="182">
        <f t="shared" si="0"/>
        <v>1.2</v>
      </c>
    </row>
    <row r="28" spans="1:4" x14ac:dyDescent="0.2">
      <c r="B28" s="187" t="s">
        <v>719</v>
      </c>
      <c r="C28" s="180">
        <f>SUM(C10:C27)</f>
        <v>23767691.16</v>
      </c>
      <c r="D28" s="184">
        <f>ROUND(SUM(D10:D27),0)</f>
        <v>100</v>
      </c>
    </row>
    <row r="29" spans="1:4" x14ac:dyDescent="0.2">
      <c r="A29">
        <v>4000</v>
      </c>
      <c r="B29" t="s">
        <v>724</v>
      </c>
      <c r="C29" s="179">
        <f>ROUND('DOE25'!L255+'DOE25'!L336+'DOE25'!L374+'DOE25'!L375+'DOE25'!L376+'DOE25'!L377+'DOE25'!L378+'DOE25'!L379+'DOE25'!L380,0)</f>
        <v>3375</v>
      </c>
    </row>
    <row r="30" spans="1:4" x14ac:dyDescent="0.2">
      <c r="B30" s="187" t="s">
        <v>725</v>
      </c>
      <c r="C30" s="180">
        <f>SUM(C28:C29)</f>
        <v>23771066.16</v>
      </c>
    </row>
    <row r="31" spans="1:4" x14ac:dyDescent="0.2">
      <c r="B31" s="33"/>
      <c r="C31" s="180"/>
    </row>
    <row r="32" spans="1:4" x14ac:dyDescent="0.2">
      <c r="A32">
        <v>5100</v>
      </c>
      <c r="B32" s="33" t="s">
        <v>726</v>
      </c>
      <c r="C32" s="180">
        <f>ROUND('DOE25'!L260+'DOE25'!L341,0)</f>
        <v>673499</v>
      </c>
    </row>
    <row r="34" spans="1:4" x14ac:dyDescent="0.2">
      <c r="A34" s="187" t="s">
        <v>94</v>
      </c>
      <c r="B34" s="188" t="s">
        <v>1604</v>
      </c>
      <c r="C34" s="181" t="s">
        <v>720</v>
      </c>
      <c r="D34" s="181" t="s">
        <v>721</v>
      </c>
    </row>
    <row r="35" spans="1:4" x14ac:dyDescent="0.2">
      <c r="A35">
        <v>1100</v>
      </c>
      <c r="B35" s="185" t="s">
        <v>727</v>
      </c>
      <c r="C35" s="179">
        <f>ROUND('DOE25'!F60+'DOE25'!G60+'DOE25'!H60+'DOE25'!I60+'DOE25'!J60,0)</f>
        <v>15412433</v>
      </c>
      <c r="D35" s="182">
        <f t="shared" ref="D35:D40" si="1">ROUND((C35/$C$41)*100,1)</f>
        <v>61.8</v>
      </c>
    </row>
    <row r="36" spans="1:4" x14ac:dyDescent="0.2">
      <c r="B36" s="185" t="s">
        <v>739</v>
      </c>
      <c r="C36" s="179">
        <f>SUM('DOE25'!F112:J112)-SUM('DOE25'!G97:G110)+('DOE25'!F174+'DOE25'!F175+'DOE25'!I174+'DOE25'!I175)-C35</f>
        <v>509979.50999999978</v>
      </c>
      <c r="D36" s="182">
        <f t="shared" si="1"/>
        <v>2</v>
      </c>
    </row>
    <row r="37" spans="1:4" x14ac:dyDescent="0.2">
      <c r="A37" s="183" t="s">
        <v>835</v>
      </c>
      <c r="B37" s="185" t="s">
        <v>728</v>
      </c>
      <c r="C37" s="179">
        <f>ROUND('DOE25'!F117+'DOE25'!F118,0)</f>
        <v>6930066</v>
      </c>
      <c r="D37" s="182">
        <f t="shared" si="1"/>
        <v>27.8</v>
      </c>
    </row>
    <row r="38" spans="1:4" x14ac:dyDescent="0.2">
      <c r="A38" s="183" t="s">
        <v>734</v>
      </c>
      <c r="B38" s="185" t="s">
        <v>729</v>
      </c>
      <c r="C38" s="179">
        <f>ROUND(SUM('DOE25'!F140:J140)-SUM('DOE25'!F117:F119),0)</f>
        <v>677053</v>
      </c>
      <c r="D38" s="182">
        <f t="shared" si="1"/>
        <v>2.7</v>
      </c>
    </row>
    <row r="39" spans="1:4" x14ac:dyDescent="0.2">
      <c r="A39">
        <v>4000</v>
      </c>
      <c r="B39" s="185" t="s">
        <v>730</v>
      </c>
      <c r="C39" s="179">
        <f>ROUND('DOE25'!F169+'DOE25'!G169+'DOE25'!H169+'DOE25'!I169,0)</f>
        <v>1391218</v>
      </c>
      <c r="D39" s="182">
        <f t="shared" si="1"/>
        <v>5.6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24920749.509999998</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17"/>
  </sheetPr>
  <dimension ref="A1:IV90"/>
  <sheetViews>
    <sheetView workbookViewId="0">
      <pane ySplit="3" topLeftCell="A4" activePane="bottomLeft" state="frozen"/>
      <selection activeCell="F46" sqref="F46"/>
      <selection pane="bottomLeft" activeCell="C45" sqref="C45:M45"/>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Raymond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v>3</v>
      </c>
      <c r="B4" s="219">
        <v>24</v>
      </c>
      <c r="C4" s="333" t="s">
        <v>1616</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t="s">
        <v>1615</v>
      </c>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v>4</v>
      </c>
      <c r="B8" s="219">
        <v>4</v>
      </c>
      <c r="C8" s="333" t="s">
        <v>1617</v>
      </c>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v>6</v>
      </c>
      <c r="B10" s="219">
        <v>8</v>
      </c>
      <c r="C10" s="333" t="s">
        <v>1618</v>
      </c>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v>10</v>
      </c>
      <c r="B12" s="219">
        <v>6</v>
      </c>
      <c r="C12" s="333" t="s">
        <v>1619</v>
      </c>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t="s">
        <v>286</v>
      </c>
      <c r="B13" s="219"/>
      <c r="C13" s="333" t="s">
        <v>1620</v>
      </c>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v>14</v>
      </c>
      <c r="B15" s="219">
        <v>10</v>
      </c>
      <c r="C15" s="333" t="s">
        <v>1621</v>
      </c>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v>17</v>
      </c>
      <c r="B17" s="219">
        <v>13</v>
      </c>
      <c r="C17" s="333" t="s">
        <v>1622</v>
      </c>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t="s">
        <v>286</v>
      </c>
      <c r="B18" s="219" t="s">
        <v>286</v>
      </c>
      <c r="C18" s="333" t="s">
        <v>1623</v>
      </c>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v>23</v>
      </c>
      <c r="B20" s="219">
        <v>7</v>
      </c>
      <c r="C20" s="333" t="s">
        <v>1624</v>
      </c>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2019-09-11T18:28:31Z</cp:lastPrinted>
  <dcterms:created xsi:type="dcterms:W3CDTF">1997-12-04T19:04:30Z</dcterms:created>
  <dcterms:modified xsi:type="dcterms:W3CDTF">2019-11-22T16:07:34Z</dcterms:modified>
</cp:coreProperties>
</file>