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8" i="1" l="1"/>
  <c r="D5" i="14" l="1"/>
  <c r="F12" i="1" l="1"/>
  <c r="F472" i="1" l="1"/>
  <c r="H207" i="1"/>
  <c r="F15" i="13" l="1"/>
  <c r="F22" i="1" l="1"/>
  <c r="F57" i="1"/>
  <c r="G97" i="1" l="1"/>
  <c r="H22" i="1"/>
  <c r="H12" i="1"/>
  <c r="G22" i="1"/>
  <c r="D9" i="13"/>
  <c r="C12" i="12"/>
  <c r="C20" i="12"/>
  <c r="C19" i="12"/>
  <c r="B20" i="12"/>
  <c r="B19" i="12"/>
  <c r="C11" i="12"/>
  <c r="C10" i="12"/>
  <c r="B11" i="12"/>
  <c r="H526" i="1"/>
  <c r="G526" i="1"/>
  <c r="K285" i="1"/>
  <c r="H281" i="1"/>
  <c r="G281" i="1"/>
  <c r="G277" i="1"/>
  <c r="H226" i="1"/>
  <c r="H216" i="1"/>
  <c r="G238" i="1"/>
  <c r="G234" i="1"/>
  <c r="G220" i="1"/>
  <c r="F220" i="1"/>
  <c r="G216" i="1"/>
  <c r="H197" i="1"/>
  <c r="G197" i="1"/>
  <c r="H208" i="1" l="1"/>
  <c r="J207" i="1"/>
  <c r="G207" i="1"/>
  <c r="I207" i="1"/>
  <c r="F207" i="1"/>
  <c r="I205" i="1"/>
  <c r="H205" i="1"/>
  <c r="G205" i="1"/>
  <c r="F205" i="1"/>
  <c r="H204" i="1"/>
  <c r="F204" i="1"/>
  <c r="G204" i="1"/>
  <c r="I203" i="1"/>
  <c r="G203" i="1"/>
  <c r="I202" i="1"/>
  <c r="H202" i="1"/>
  <c r="G202" i="1"/>
  <c r="F202" i="1"/>
  <c r="I198" i="1"/>
  <c r="H198" i="1"/>
  <c r="G198" i="1"/>
  <c r="F198" i="1"/>
  <c r="J197" i="1"/>
  <c r="I197" i="1"/>
  <c r="F197"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L243" i="1"/>
  <c r="G15" i="13"/>
  <c r="H15" i="13"/>
  <c r="L208" i="1"/>
  <c r="L226" i="1"/>
  <c r="G662" i="1" s="1"/>
  <c r="L244" i="1"/>
  <c r="G17" i="13"/>
  <c r="H17" i="13"/>
  <c r="L251" i="1"/>
  <c r="G18" i="13"/>
  <c r="H18" i="13"/>
  <c r="L252" i="1"/>
  <c r="D18" i="13" s="1"/>
  <c r="C18" i="13" s="1"/>
  <c r="G19" i="13"/>
  <c r="H19" i="13"/>
  <c r="L253" i="1"/>
  <c r="G29" i="13"/>
  <c r="H29" i="13"/>
  <c r="L358" i="1"/>
  <c r="L359" i="1"/>
  <c r="L360" i="1"/>
  <c r="I367" i="1"/>
  <c r="I369" i="1" s="1"/>
  <c r="H634" i="1" s="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H662" i="1" s="1"/>
  <c r="L326" i="1"/>
  <c r="L333" i="1"/>
  <c r="L334" i="1"/>
  <c r="L335" i="1"/>
  <c r="L260" i="1"/>
  <c r="L261" i="1"/>
  <c r="C132" i="2" s="1"/>
  <c r="L341" i="1"/>
  <c r="C32" i="10" s="1"/>
  <c r="L342" i="1"/>
  <c r="L255" i="1"/>
  <c r="L336" i="1"/>
  <c r="E130" i="2" s="1"/>
  <c r="C11" i="13"/>
  <c r="C10" i="13"/>
  <c r="C9" i="13"/>
  <c r="L361" i="1"/>
  <c r="B4" i="12"/>
  <c r="B36" i="12"/>
  <c r="C36" i="12"/>
  <c r="B40" i="12"/>
  <c r="C40" i="12"/>
  <c r="B27" i="12"/>
  <c r="C27" i="12"/>
  <c r="B31" i="12"/>
  <c r="C31"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F147" i="1"/>
  <c r="C85" i="2" s="1"/>
  <c r="C91" i="2" s="1"/>
  <c r="F162" i="1"/>
  <c r="G147" i="1"/>
  <c r="G162" i="1"/>
  <c r="H147" i="1"/>
  <c r="E85" i="2" s="1"/>
  <c r="H162" i="1"/>
  <c r="I147" i="1"/>
  <c r="I162" i="1"/>
  <c r="I169" i="1" s="1"/>
  <c r="L250" i="1"/>
  <c r="C113" i="2" s="1"/>
  <c r="L332" i="1"/>
  <c r="L254" i="1"/>
  <c r="L268" i="1"/>
  <c r="L269" i="1"/>
  <c r="C143" i="2" s="1"/>
  <c r="L349" i="1"/>
  <c r="L350" i="1"/>
  <c r="I665" i="1"/>
  <c r="I670" i="1"/>
  <c r="I669" i="1"/>
  <c r="C4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E132"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F56" i="2"/>
  <c r="E57"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D91" i="2" s="1"/>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E113" i="2"/>
  <c r="D115" i="2"/>
  <c r="F115" i="2"/>
  <c r="G115" i="2"/>
  <c r="C119" i="2"/>
  <c r="E121" i="2"/>
  <c r="E124" i="2"/>
  <c r="E125" i="2"/>
  <c r="F128" i="2"/>
  <c r="G128" i="2"/>
  <c r="C130" i="2"/>
  <c r="D134" i="2"/>
  <c r="D144" i="2" s="1"/>
  <c r="E134" i="2"/>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G625" i="1" s="1"/>
  <c r="F177" i="1"/>
  <c r="F192" i="1" s="1"/>
  <c r="I177" i="1"/>
  <c r="F183" i="1"/>
  <c r="G183" i="1"/>
  <c r="H183" i="1"/>
  <c r="I183" i="1"/>
  <c r="J183" i="1"/>
  <c r="J192" i="1" s="1"/>
  <c r="F188" i="1"/>
  <c r="G188" i="1"/>
  <c r="H188" i="1"/>
  <c r="I188"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F461" i="1" s="1"/>
  <c r="H639" i="1" s="1"/>
  <c r="G452" i="1"/>
  <c r="H452" i="1"/>
  <c r="F460" i="1"/>
  <c r="G460" i="1"/>
  <c r="H460" i="1"/>
  <c r="F470" i="1"/>
  <c r="G470" i="1"/>
  <c r="H470" i="1"/>
  <c r="H476" i="1" s="1"/>
  <c r="H624" i="1" s="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2" i="1"/>
  <c r="G623" i="1"/>
  <c r="G624" i="1"/>
  <c r="H627" i="1"/>
  <c r="H628" i="1"/>
  <c r="H629" i="1"/>
  <c r="H630" i="1"/>
  <c r="H631" i="1"/>
  <c r="H632" i="1"/>
  <c r="H633" i="1"/>
  <c r="G634" i="1"/>
  <c r="H635" i="1"/>
  <c r="H636" i="1"/>
  <c r="H637" i="1"/>
  <c r="H638" i="1"/>
  <c r="G643" i="1"/>
  <c r="G644" i="1"/>
  <c r="G645" i="1"/>
  <c r="G651" i="1"/>
  <c r="G652" i="1"/>
  <c r="H652" i="1"/>
  <c r="G653" i="1"/>
  <c r="H653" i="1"/>
  <c r="G654" i="1"/>
  <c r="H654" i="1"/>
  <c r="H655" i="1"/>
  <c r="D50" i="2"/>
  <c r="E78" i="2"/>
  <c r="G552" i="1"/>
  <c r="J140" i="1"/>
  <c r="G62" i="2" l="1"/>
  <c r="C18" i="2"/>
  <c r="E103" i="2"/>
  <c r="H192" i="1"/>
  <c r="H169" i="1"/>
  <c r="E62" i="2"/>
  <c r="E63" i="2" s="1"/>
  <c r="G192" i="1"/>
  <c r="D81" i="2"/>
  <c r="D62" i="2"/>
  <c r="J643" i="1"/>
  <c r="H112" i="1"/>
  <c r="D63" i="2"/>
  <c r="G112" i="1"/>
  <c r="J624" i="1"/>
  <c r="I52" i="1"/>
  <c r="H620" i="1" s="1"/>
  <c r="J620" i="1" s="1"/>
  <c r="F18" i="2"/>
  <c r="E31" i="2"/>
  <c r="H52" i="1"/>
  <c r="H619" i="1" s="1"/>
  <c r="J623" i="1"/>
  <c r="D31" i="2"/>
  <c r="D18" i="2"/>
  <c r="A40" i="12"/>
  <c r="K605" i="1"/>
  <c r="G648" i="1" s="1"/>
  <c r="J651" i="1"/>
  <c r="K598" i="1"/>
  <c r="G647" i="1" s="1"/>
  <c r="K571" i="1"/>
  <c r="J571" i="1"/>
  <c r="L560" i="1"/>
  <c r="I571" i="1"/>
  <c r="H571" i="1"/>
  <c r="L570" i="1"/>
  <c r="L565" i="1"/>
  <c r="K545" i="1"/>
  <c r="J552" i="1"/>
  <c r="I545" i="1"/>
  <c r="H545" i="1"/>
  <c r="I552" i="1"/>
  <c r="G545" i="1"/>
  <c r="L529" i="1"/>
  <c r="J545" i="1"/>
  <c r="K549" i="1"/>
  <c r="F552" i="1"/>
  <c r="J655" i="1"/>
  <c r="G161" i="2"/>
  <c r="G157" i="2"/>
  <c r="G164" i="2"/>
  <c r="G156" i="2"/>
  <c r="J476" i="1"/>
  <c r="H626" i="1" s="1"/>
  <c r="I476" i="1"/>
  <c r="H625" i="1" s="1"/>
  <c r="J625" i="1" s="1"/>
  <c r="F476" i="1"/>
  <c r="H622" i="1" s="1"/>
  <c r="J622" i="1" s="1"/>
  <c r="H461" i="1"/>
  <c r="H641" i="1" s="1"/>
  <c r="J641" i="1" s="1"/>
  <c r="G461" i="1"/>
  <c r="H640" i="1" s="1"/>
  <c r="J640" i="1" s="1"/>
  <c r="L419" i="1"/>
  <c r="L433" i="1"/>
  <c r="L427" i="1"/>
  <c r="I408" i="1"/>
  <c r="H408" i="1"/>
  <c r="H644" i="1" s="1"/>
  <c r="J644" i="1" s="1"/>
  <c r="G408" i="1"/>
  <c r="H645" i="1" s="1"/>
  <c r="J645" i="1" s="1"/>
  <c r="L401" i="1"/>
  <c r="C139" i="2" s="1"/>
  <c r="L393" i="1"/>
  <c r="C138" i="2" s="1"/>
  <c r="F130" i="2"/>
  <c r="F144" i="2" s="1"/>
  <c r="F145" i="2" s="1"/>
  <c r="J634" i="1"/>
  <c r="L362" i="1"/>
  <c r="G635" i="1" s="1"/>
  <c r="J635" i="1" s="1"/>
  <c r="F661" i="1"/>
  <c r="G661" i="1"/>
  <c r="E131" i="2"/>
  <c r="L351" i="1"/>
  <c r="E114" i="2"/>
  <c r="E119" i="2"/>
  <c r="E120" i="2"/>
  <c r="L328" i="1"/>
  <c r="C11" i="10"/>
  <c r="G338" i="1"/>
  <c r="G352" i="1" s="1"/>
  <c r="E123" i="2"/>
  <c r="E122" i="2"/>
  <c r="E118" i="2"/>
  <c r="L309" i="1"/>
  <c r="F338" i="1"/>
  <c r="F352" i="1" s="1"/>
  <c r="A31" i="12"/>
  <c r="K338" i="1"/>
  <c r="K352" i="1" s="1"/>
  <c r="L290" i="1"/>
  <c r="E110" i="2"/>
  <c r="E13" i="13"/>
  <c r="C13" i="13" s="1"/>
  <c r="C125" i="2"/>
  <c r="C20" i="10"/>
  <c r="C18" i="10"/>
  <c r="L247" i="1"/>
  <c r="G650" i="1"/>
  <c r="C112" i="2"/>
  <c r="C12" i="10"/>
  <c r="J257" i="1"/>
  <c r="J271" i="1" s="1"/>
  <c r="C26" i="10"/>
  <c r="K257" i="1"/>
  <c r="K271" i="1" s="1"/>
  <c r="C114" i="2"/>
  <c r="H257" i="1"/>
  <c r="H271" i="1" s="1"/>
  <c r="L256" i="1"/>
  <c r="D15" i="13"/>
  <c r="C15" i="13" s="1"/>
  <c r="H647" i="1"/>
  <c r="C120" i="2"/>
  <c r="D6" i="13"/>
  <c r="C6" i="13" s="1"/>
  <c r="I257" i="1"/>
  <c r="I271" i="1" s="1"/>
  <c r="C13" i="10"/>
  <c r="F169" i="1"/>
  <c r="C78" i="2"/>
  <c r="C70" i="2"/>
  <c r="F112" i="1"/>
  <c r="J617" i="1"/>
  <c r="J639" i="1"/>
  <c r="K551" i="1"/>
  <c r="I25" i="13"/>
  <c r="K550"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D29" i="13"/>
  <c r="C29" i="13" s="1"/>
  <c r="D12" i="13"/>
  <c r="C12"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L229" i="1"/>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I192" i="1"/>
  <c r="E91" i="2"/>
  <c r="D51" i="2"/>
  <c r="J654" i="1"/>
  <c r="J653" i="1"/>
  <c r="G21" i="2"/>
  <c r="G31" i="2" s="1"/>
  <c r="J32" i="1"/>
  <c r="J434" i="1"/>
  <c r="F434" i="1"/>
  <c r="K434" i="1"/>
  <c r="G134" i="2" s="1"/>
  <c r="G144" i="2" s="1"/>
  <c r="G145" i="2" s="1"/>
  <c r="G31" i="13"/>
  <c r="J193" i="1"/>
  <c r="G646" i="1" s="1"/>
  <c r="G169" i="1"/>
  <c r="G140" i="1"/>
  <c r="F140" i="1"/>
  <c r="G63" i="2"/>
  <c r="J618" i="1"/>
  <c r="G42" i="2"/>
  <c r="G50" i="2" s="1"/>
  <c r="J51" i="1"/>
  <c r="G16" i="2"/>
  <c r="G18" i="2" s="1"/>
  <c r="J19" i="1"/>
  <c r="G621" i="1" s="1"/>
  <c r="F545" i="1"/>
  <c r="H434" i="1"/>
  <c r="J619" i="1"/>
  <c r="D103" i="2"/>
  <c r="I140" i="1"/>
  <c r="I193" i="1" s="1"/>
  <c r="G630" i="1" s="1"/>
  <c r="J630" i="1" s="1"/>
  <c r="A22" i="12"/>
  <c r="J652" i="1"/>
  <c r="G571" i="1"/>
  <c r="I434" i="1"/>
  <c r="G434" i="1"/>
  <c r="I663" i="1"/>
  <c r="F193" i="1" l="1"/>
  <c r="G627" i="1" s="1"/>
  <c r="J627" i="1" s="1"/>
  <c r="F104" i="2"/>
  <c r="H193" i="1"/>
  <c r="G629" i="1" s="1"/>
  <c r="J629" i="1" s="1"/>
  <c r="E104" i="2"/>
  <c r="D104" i="2"/>
  <c r="F51" i="2"/>
  <c r="J647" i="1"/>
  <c r="L571" i="1"/>
  <c r="L545" i="1"/>
  <c r="G104" i="2"/>
  <c r="G51" i="2"/>
  <c r="L434" i="1"/>
  <c r="G638" i="1" s="1"/>
  <c r="J638" i="1" s="1"/>
  <c r="C141" i="2"/>
  <c r="C144" i="2" s="1"/>
  <c r="L408" i="1"/>
  <c r="G637" i="1" s="1"/>
  <c r="J637" i="1" s="1"/>
  <c r="C27" i="10"/>
  <c r="I661" i="1"/>
  <c r="H660" i="1"/>
  <c r="H664" i="1" s="1"/>
  <c r="H667" i="1" s="1"/>
  <c r="E128" i="2"/>
  <c r="E115" i="2"/>
  <c r="G24" i="14"/>
  <c r="H24" i="14" s="1"/>
  <c r="I24" i="14" s="1"/>
  <c r="L338" i="1"/>
  <c r="L352" i="1" s="1"/>
  <c r="G633" i="1" s="1"/>
  <c r="J633" i="1" s="1"/>
  <c r="G36" i="14"/>
  <c r="H36" i="14" s="1"/>
  <c r="I36" i="14" s="1"/>
  <c r="H648" i="1"/>
  <c r="J648" i="1" s="1"/>
  <c r="G33" i="13"/>
  <c r="E33" i="13"/>
  <c r="D35" i="13" s="1"/>
  <c r="C128" i="2"/>
  <c r="C63" i="2"/>
  <c r="C36" i="10"/>
  <c r="C39" i="10"/>
  <c r="C81" i="2"/>
  <c r="D31" i="13"/>
  <c r="C31" i="13" s="1"/>
  <c r="I461" i="1"/>
  <c r="H642" i="1" s="1"/>
  <c r="J642" i="1" s="1"/>
  <c r="G660" i="1"/>
  <c r="G664" i="1" s="1"/>
  <c r="G672" i="1" s="1"/>
  <c r="C5" i="10" s="1"/>
  <c r="C25" i="13"/>
  <c r="I33" i="13"/>
  <c r="K552" i="1"/>
  <c r="C51" i="2"/>
  <c r="G631" i="1"/>
  <c r="J631" i="1" s="1"/>
  <c r="G193" i="1"/>
  <c r="G628" i="1" s="1"/>
  <c r="J628" i="1" s="1"/>
  <c r="G626" i="1"/>
  <c r="J626" i="1" s="1"/>
  <c r="J52" i="1"/>
  <c r="H621" i="1" s="1"/>
  <c r="J621" i="1" s="1"/>
  <c r="C38" i="10"/>
  <c r="H646" i="1" l="1"/>
  <c r="J646" i="1" s="1"/>
  <c r="H672" i="1"/>
  <c r="C6" i="10" s="1"/>
  <c r="E145" i="2"/>
  <c r="G667" i="1"/>
  <c r="C104" i="2"/>
  <c r="C41" i="10"/>
  <c r="D38" i="10" s="1"/>
  <c r="D37" i="10" l="1"/>
  <c r="D36" i="10"/>
  <c r="D35" i="10"/>
  <c r="D40" i="10"/>
  <c r="D39" i="10"/>
  <c r="D41" i="10" l="1"/>
  <c r="F211" i="1"/>
  <c r="F257" i="1" s="1"/>
  <c r="F271" i="1" s="1"/>
  <c r="B9" i="12"/>
  <c r="A13" i="12" s="1"/>
  <c r="L197" i="1"/>
  <c r="C109" i="2" s="1"/>
  <c r="C115" i="2" s="1"/>
  <c r="C145" i="2" s="1"/>
  <c r="L211" i="1" l="1"/>
  <c r="F660" i="1" s="1"/>
  <c r="F664" i="1" s="1"/>
  <c r="D5" i="13"/>
  <c r="C10" i="10"/>
  <c r="G4" i="14" l="1"/>
  <c r="H4" i="14" s="1"/>
  <c r="I4" i="14" s="1"/>
  <c r="L257" i="1"/>
  <c r="L271" i="1" s="1"/>
  <c r="G632" i="1" s="1"/>
  <c r="H656" i="1" s="1"/>
  <c r="I660" i="1"/>
  <c r="I664" i="1" s="1"/>
  <c r="I672" i="1" s="1"/>
  <c r="C7" i="10" s="1"/>
  <c r="C5" i="13"/>
  <c r="D33" i="13"/>
  <c r="D36" i="13" s="1"/>
  <c r="C28" i="10"/>
  <c r="F667" i="1"/>
  <c r="F672" i="1"/>
  <c r="C4" i="10" s="1"/>
  <c r="J632" i="1" l="1"/>
  <c r="I667" i="1"/>
  <c r="D24" i="10"/>
  <c r="D22" i="10"/>
  <c r="D18" i="10"/>
  <c r="D25" i="10"/>
  <c r="D21" i="10"/>
  <c r="D23" i="10"/>
  <c r="D13" i="10"/>
  <c r="C30" i="10"/>
  <c r="D16" i="10"/>
  <c r="D20" i="10"/>
  <c r="D26" i="10"/>
  <c r="D11" i="10"/>
  <c r="D19" i="10"/>
  <c r="D15" i="10"/>
  <c r="D17" i="10"/>
  <c r="D27" i="10"/>
  <c r="D12" i="10"/>
  <c r="D10" i="10"/>
  <c r="D28"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<sst xmlns="http://schemas.openxmlformats.org/spreadsheetml/2006/main" count="5510" uniqueCount="1612">
  <si>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</si>
  <si>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</si>
  <si>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</si>
  <si>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</si>
  <si>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</si>
  <si>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</si>
  <si>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</si>
  <si>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</si>
  <si>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</si>
  <si>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</si>
  <si>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</si>
  <si>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</si>
  <si>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</si>
  <si>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</si>
  <si>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</si>
  <si>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</si>
  <si>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</si>
  <si>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</si>
  <si>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</si>
  <si>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</si>
  <si>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</si>
  <si>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</si>
  <si>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</si>
  <si>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</si>
  <si>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</si>
  <si>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</si>
  <si>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</si>
  <si>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</si>
  <si>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</si>
  <si>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</si>
  <si>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</si>
  <si>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</si>
  <si>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</si>
  <si>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</si>
  <si>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</si>
  <si>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</si>
  <si>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</si>
  <si>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</si>
  <si>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</si>
  <si>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</si>
  <si>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</si>
  <si>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</si>
  <si>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</si>
  <si>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</si>
  <si>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</si>
  <si>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</si>
  <si>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</si>
  <si>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</si>
  <si>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</si>
  <si>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</si>
  <si>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</si>
  <si>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</si>
  <si>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</si>
  <si>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</si>
  <si>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</si>
  <si>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</si>
  <si>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</si>
  <si>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</si>
  <si>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</si>
  <si>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</si>
  <si>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</si>
  <si>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</si>
  <si>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</si>
  <si>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</si>
  <si>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</si>
  <si>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</si>
  <si>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</si>
  <si>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</si>
  <si>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</si>
  <si>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</si>
  <si>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</si>
  <si>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</si>
  <si>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</si>
  <si>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</si>
  <si>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</si>
  <si>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</si>
  <si>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</si>
  <si>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</si>
  <si>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</si>
  <si>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</si>
  <si>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</si>
  <si>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</si>
  <si>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</si>
  <si>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</si>
  <si>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</si>
  <si>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</si>
  <si>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</si>
  <si>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</si>
  <si>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</si>
  <si>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</si>
  <si>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</si>
  <si>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</si>
  <si>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</si>
  <si>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</si>
  <si>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</si>
  <si>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</si>
  <si>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</si>
  <si>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</si>
  <si>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</si>
  <si>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</si>
  <si>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</si>
  <si>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</si>
  <si>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</si>
  <si>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</si>
  <si>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</si>
  <si>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</si>
  <si>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</si>
  <si>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</si>
  <si>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</si>
  <si>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</si>
  <si>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</si>
  <si>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</si>
  <si>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</si>
  <si>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</si>
  <si>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</si>
  <si>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</si>
  <si>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</si>
  <si>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</si>
  <si>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</si>
  <si>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</si>
  <si>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</si>
  <si>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</si>
  <si>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</si>
  <si>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</si>
  <si>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</si>
  <si>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</si>
  <si>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</si>
  <si>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</si>
  <si>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</si>
  <si>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</si>
  <si>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</si>
  <si>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</si>
  <si>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</si>
  <si>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</si>
  <si>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</si>
  <si>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</si>
  <si>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</si>
  <si>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</si>
  <si>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</si>
  <si>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</si>
  <si>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</si>
  <si>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</si>
  <si>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</si>
  <si>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</si>
  <si>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</si>
  <si>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</si>
  <si>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</si>
  <si>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</si>
  <si>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</si>
  <si>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</si>
  <si>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</si>
  <si>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</si>
  <si>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</si>
  <si>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</si>
  <si>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</si>
  <si>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</si>
  <si>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</si>
  <si>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</si>
  <si>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</si>
  <si>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</si>
  <si>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</si>
  <si>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</si>
  <si>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</si>
  <si>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</si>
  <si>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</si>
  <si>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</si>
  <si>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</si>
  <si>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</si>
  <si>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</si>
  <si>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</si>
  <si>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</si>
  <si>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</si>
  <si>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</si>
  <si>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</si>
  <si>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</si>
  <si>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</si>
  <si>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</si>
  <si>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</si>
  <si>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</si>
  <si>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</si>
  <si>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</si>
  <si>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</si>
  <si>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</si>
  <si>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</si>
  <si>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</si>
  <si>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</si>
  <si>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</si>
  <si>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</si>
  <si>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</si>
  <si>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</si>
  <si>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</si>
  <si>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</si>
  <si>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</si>
  <si>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</si>
  <si>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</si>
  <si>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</si>
  <si>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</si>
  <si>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</si>
  <si>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</si>
  <si>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</si>
  <si>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</si>
  <si>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</si>
  <si>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</si>
  <si>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</si>
  <si>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</si>
  <si>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</si>
  <si>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</si>
  <si>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</si>
  <si>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</si>
  <si>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</si>
  <si>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</si>
  <si>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</si>
  <si>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</si>
  <si>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</si>
  <si>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</si>
  <si>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</si>
  <si>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</si>
  <si>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</si>
  <si>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</si>
  <si>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</si>
  <si>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</si>
  <si>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</si>
  <si>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</si>
  <si>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</si>
  <si>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</si>
  <si>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</si>
  <si>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</si>
  <si>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</si>
  <si>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</si>
  <si>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</si>
  <si>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</si>
  <si>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</si>
  <si>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</si>
  <si>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</si>
  <si>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</si>
  <si>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</si>
  <si>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</si>
  <si>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</si>
  <si>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</si>
  <si>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</si>
  <si>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</si>
  <si>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</si>
  <si>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</si>
  <si>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</si>
  <si>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</si>
  <si>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</si>
  <si>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</si>
  <si>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</si>
  <si>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</si>
  <si>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</si>
  <si>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</si>
  <si>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</si>
  <si>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</si>
  <si>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</si>
  <si>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</si>
  <si>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</si>
  <si>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</si>
  <si>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</si>
  <si>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</si>
  <si>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</si>
  <si>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</si>
  <si>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</si>
  <si>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</si>
  <si>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</si>
  <si>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</si>
  <si>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</si>
  <si>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</si>
  <si>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</si>
  <si>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</si>
  <si>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</si>
  <si>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</si>
  <si>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</si>
  <si>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</si>
  <si>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</si>
  <si>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</si>
  <si>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</si>
  <si>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</si>
  <si>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</si>
  <si>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</si>
  <si>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</si>
  <si>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</si>
  <si>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</si>
  <si>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</si>
  <si>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</si>
  <si>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</si>
  <si>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</si>
  <si>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</si>
  <si>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</si>
  <si>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</si>
  <si>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</si>
  <si>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</si>
  <si>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</si>
  <si>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</si>
  <si>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</si>
  <si>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</si>
  <si>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</si>
  <si>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</si>
  <si>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</si>
  <si>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</si>
  <si>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</si>
  <si>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</si>
  <si>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</si>
  <si>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</si>
  <si>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</si>
  <si>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</si>
  <si>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</si>
  <si>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</si>
  <si>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</si>
  <si>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</si>
  <si>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</si>
  <si>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</si>
  <si>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</si>
  <si>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</si>
  <si>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</si>
  <si>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</si>
  <si>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</si>
  <si>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</si>
  <si>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</si>
  <si>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</si>
  <si>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</si>
  <si>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</si>
  <si>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</si>
  <si>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</si>
  <si>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</si>
  <si>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</si>
  <si>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</si>
  <si>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</si>
  <si>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</si>
  <si>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</si>
  <si>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</si>
  <si>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</si>
  <si>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</si>
  <si>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</si>
  <si>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</si>
  <si>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</si>
  <si>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</si>
  <si>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</si>
  <si>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</si>
  <si>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</si>
  <si>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</si>
  <si>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</si>
  <si>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</si>
  <si>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</si>
  <si>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</si>
  <si>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</si>
  <si>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</si>
  <si>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</si>
  <si>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</si>
  <si>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</si>
  <si>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</si>
  <si>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</si>
  <si>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</si>
  <si>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</si>
  <si>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</si>
  <si>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</si>
  <si>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</si>
  <si>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</si>
  <si>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</si>
  <si>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</si>
  <si>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</si>
  <si>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</si>
  <si>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</si>
  <si>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</si>
  <si>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</si>
  <si>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</si>
  <si>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</si>
  <si>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</si>
  <si>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</si>
  <si>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</si>
  <si>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</si>
  <si>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</si>
  <si>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</si>
  <si>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</si>
  <si>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</si>
  <si>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</si>
  <si>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</si>
  <si>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</si>
  <si>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</si>
  <si>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</si>
  <si>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</si>
  <si>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</si>
  <si>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</si>
  <si>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</si>
  <si>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</si>
  <si>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</si>
  <si>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</si>
  <si>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</si>
  <si>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</si>
  <si>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</si>
  <si>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</si>
  <si>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</si>
  <si>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</si>
  <si>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</si>
  <si>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</si>
  <si>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</si>
  <si>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</si>
  <si>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</si>
  <si>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</si>
  <si>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</si>
  <si>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</si>
  <si>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</si>
  <si>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</si>
  <si>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</si>
  <si>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</si>
  <si>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</si>
  <si>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</si>
  <si>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</si>
  <si>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</si>
  <si>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</si>
  <si>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</si>
  <si>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</si>
  <si>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</si>
  <si>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</si>
  <si>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</si>
  <si>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</si>
  <si>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</si>
  <si>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</si>
  <si>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</si>
  <si>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</si>
  <si>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</si>
  <si>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</si>
  <si>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</si>
  <si>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</si>
  <si>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</si>
  <si>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</si>
  <si>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</si>
  <si>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</si>
  <si>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</si>
  <si>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</si>
  <si>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</si>
  <si>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</si>
  <si>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</si>
  <si>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</si>
  <si>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</si>
  <si>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</si>
  <si>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</si>
  <si>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</si>
  <si>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</si>
  <si>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</si>
  <si>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</si>
  <si>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</si>
  <si>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</si>
  <si>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</si>
  <si>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</si>
  <si>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</si>
  <si>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</si>
  <si>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</si>
  <si>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</si>
  <si>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</si>
  <si>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</si>
  <si>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</si>
  <si>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</si>
  <si>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</si>
  <si>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</si>
  <si>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</si>
  <si>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</si>
  <si>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</si>
  <si>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</si>
  <si>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</si>
  <si>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</si>
  <si>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</si>
  <si>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</si>
  <si>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</si>
  <si>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</si>
  <si>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</si>
  <si>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</si>
  <si>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</si>
  <si>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</si>
  <si>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</si>
  <si>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</si>
  <si>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</si>
  <si>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</si>
  <si>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</si>
  <si>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</si>
  <si>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</si>
  <si>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</si>
  <si>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</si>
  <si>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</si>
  <si>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</si>
  <si>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</si>
  <si>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</si>
  <si>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</si>
  <si>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</si>
  <si>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</si>
  <si>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</si>
  <si>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</si>
  <si>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</si>
  <si>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</si>
  <si>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</si>
  <si>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</si>
  <si>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</si>
  <si>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</si>
  <si>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</si>
  <si>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</si>
  <si>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</si>
  <si>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</si>
  <si>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</si>
  <si>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</si>
  <si>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</si>
  <si>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</si>
  <si>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</si>
  <si>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</si>
  <si>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</si>
  <si>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</si>
  <si>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</si>
  <si>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</si>
  <si>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</si>
  <si>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</si>
  <si>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</si>
  <si>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</si>
  <si>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</si>
  <si>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</si>
  <si>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</si>
  <si>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</si>
  <si>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</si>
  <si>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</si>
  <si>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</si>
  <si>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</si>
  <si>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</si>
  <si>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</si>
  <si>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</si>
  <si>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</si>
  <si>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</si>
  <si>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</si>
  <si>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</si>
  <si>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</si>
  <si>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</si>
  <si>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</si>
  <si>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</si>
  <si>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</si>
  <si>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</si>
  <si>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</si>
  <si>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</si>
  <si>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</si>
  <si>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</si>
  <si>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</si>
  <si>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</si>
  <si>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</si>
  <si>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</si>
  <si>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</si>
  <si>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</si>
  <si>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</si>
  <si>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</si>
  <si>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</si>
  <si>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</si>
  <si>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</si>
  <si>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</si>
  <si>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</si>
  <si>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</si>
  <si>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</si>
  <si>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</si>
  <si>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</si>
  <si>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</si>
  <si>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</si>
  <si>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</si>
  <si>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</si>
  <si>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</si>
  <si>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</si>
  <si>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</si>
  <si>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</si>
  <si>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</si>
  <si>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</si>
  <si>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</si>
  <si>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</si>
  <si>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</si>
  <si>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</si>
  <si>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</si>
  <si>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</si>
  <si>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</si>
  <si>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</si>
  <si>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</si>
  <si>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</si>
  <si>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</si>
  <si>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</si>
  <si>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</si>
  <si>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</si>
  <si>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</si>
  <si>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</si>
  <si>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</si>
  <si>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</si>
  <si>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</si>
  <si>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</si>
  <si>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</si>
  <si>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</si>
  <si>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</si>
  <si>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</si>
  <si>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</si>
  <si>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</si>
  <si>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</si>
  <si>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</si>
  <si>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</si>
  <si>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</si>
  <si>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</si>
  <si>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</si>
  <si>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</si>
  <si>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</si>
  <si>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</si>
  <si>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</si>
  <si>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</si>
  <si>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</si>
  <si>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</si>
  <si>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</si>
  <si>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</si>
  <si>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</si>
  <si>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</si>
  <si>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</si>
  <si>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</si>
  <si>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</si>
  <si>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</si>
  <si>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</si>
  <si>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</si>
  <si>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</si>
  <si>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</si>
  <si>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</si>
  <si>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</si>
  <si>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</si>
  <si>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</si>
  <si>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</si>
  <si>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</si>
  <si>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</si>
  <si>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</si>
  <si>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</si>
  <si>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</si>
  <si>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</si>
  <si>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</si>
  <si>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</si>
  <si>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</si>
  <si>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</si>
  <si>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</si>
  <si>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</si>
  <si>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</si>
  <si>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</si>
  <si>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</si>
  <si>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</si>
  <si>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</si>
  <si>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</si>
  <si>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</si>
  <si>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</si>
  <si>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</si>
  <si>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</si>
  <si>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</si>
  <si>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</si>
  <si>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</si>
  <si>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</si>
  <si>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</si>
  <si>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</si>
  <si>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</si>
  <si>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</si>
  <si>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</si>
  <si>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</si>
  <si>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</si>
  <si>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</si>
  <si>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</si>
  <si>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</si>
  <si>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</si>
  <si>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</si>
  <si>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</si>
  <si>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</si>
  <si>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</si>
  <si>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</si>
  <si>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</si>
  <si>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</si>
  <si>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</si>
  <si>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</si>
  <si>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</si>
  <si>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</si>
  <si>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</si>
  <si>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</si>
  <si>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</si>
  <si>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</si>
  <si>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</si>
  <si>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</si>
  <si>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</si>
  <si>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</si>
  <si>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</si>
  <si>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</si>
  <si>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</si>
  <si>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</si>
  <si>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</si>
  <si>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</si>
  <si>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</si>
  <si>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</si>
  <si>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</si>
  <si>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</si>
  <si>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</si>
  <si>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</si>
  <si>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</si>
  <si>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</si>
  <si>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</si>
  <si>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</si>
  <si>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</si>
  <si>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</si>
  <si>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</si>
  <si>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</si>
  <si>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</si>
  <si>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</si>
  <si>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</si>
  <si>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</si>
  <si>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</si>
  <si>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</si>
  <si>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</si>
  <si>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</si>
  <si>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</si>
  <si>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</si>
  <si>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</si>
  <si>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</si>
  <si>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</si>
  <si>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</si>
  <si>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</si>
  <si>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</si>
  <si>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</si>
  <si>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</si>
  <si>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</si>
  <si>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</si>
  <si>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</si>
  <si>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</si>
  <si>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</si>
  <si>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</si>
  <si>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</si>
  <si>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</si>
  <si>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</si>
  <si>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</si>
  <si>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</si>
  <si>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</si>
  <si>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</si>
  <si>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</si>
  <si>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</si>
  <si>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</si>
  <si>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</si>
  <si>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</si>
  <si>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</si>
  <si>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</si>
  <si>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</si>
  <si>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</si>
  <si>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</si>
  <si>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</si>
  <si>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</si>
  <si>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</si>
  <si>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</si>
  <si>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</si>
  <si>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</si>
  <si>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</si>
  <si>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</si>
  <si>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</si>
  <si>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</si>
  <si>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</si>
  <si>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</si>
  <si>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</si>
  <si>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</si>
  <si>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</si>
  <si>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</si>
  <si>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</si>
  <si>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</si>
  <si>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</si>
  <si>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</si>
  <si>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</si>
  <si>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</si>
  <si>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</si>
  <si>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</si>
  <si>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</si>
  <si>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</si>
  <si>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</si>
  <si>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</si>
  <si>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</si>
  <si>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</si>
  <si>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</si>
  <si>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</si>
  <si>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</si>
  <si>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</si>
  <si>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</si>
  <si>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</si>
  <si>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</si>
  <si>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</si>
  <si>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</si>
  <si>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</si>
  <si>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</si>
  <si>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</si>
  <si>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</si>
  <si>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</si>
  <si>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</si>
  <si>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</si>
  <si>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</si>
  <si>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</si>
  <si>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</si>
  <si>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</si>
  <si>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</si>
  <si>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</si>
  <si>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</si>
  <si>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</si>
  <si>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</si>
  <si>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</si>
  <si>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</si>
  <si>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</si>
  <si>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</si>
  <si>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</si>
  <si>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</si>
  <si>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</si>
  <si>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</si>
  <si>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</si>
  <si>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</si>
  <si>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</si>
  <si>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</si>
  <si>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</si>
  <si>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</si>
  <si>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</si>
  <si>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</si>
  <si>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</si>
  <si>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</si>
  <si>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</si>
  <si>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</si>
  <si>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</si>
  <si>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</si>
  <si>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</si>
  <si>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</si>
  <si>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</si>
  <si>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</si>
  <si>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</si>
  <si>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</si>
  <si>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</si>
  <si>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</si>
  <si>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</si>
  <si>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</si>
  <si>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</si>
  <si>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</si>
  <si>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</si>
  <si>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</si>
  <si>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</si>
  <si>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</si>
  <si>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</si>
  <si>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</si>
  <si>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</si>
  <si>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</si>
  <si>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</si>
  <si>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</si>
  <si>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</si>
  <si>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</si>
  <si>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</si>
  <si>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</si>
  <si>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</si>
  <si>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</si>
  <si>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</si>
  <si>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</si>
  <si>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</si>
  <si>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</si>
  <si>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</si>
  <si>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</si>
  <si>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</si>
  <si>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</si>
  <si>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</si>
  <si>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</si>
  <si>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</si>
  <si>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</si>
  <si>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</si>
  <si>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</si>
  <si>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</si>
  <si>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</si>
  <si>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</si>
  <si>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</si>
  <si>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</si>
  <si>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</si>
  <si>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</si>
  <si>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</si>
  <si>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</si>
  <si>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</si>
  <si>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</si>
  <si>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</si>
  <si>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</si>
  <si>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</si>
  <si>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</si>
  <si>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</si>
  <si>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</si>
  <si>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</si>
  <si>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</si>
  <si>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</si>
  <si>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</si>
  <si>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</si>
  <si>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</si>
  <si>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</si>
  <si>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</si>
  <si>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</si>
  <si>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</si>
  <si>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</si>
  <si>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</si>
  <si>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</si>
  <si>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</si>
  <si>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</si>
  <si>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</si>
  <si>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</si>
  <si>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</si>
  <si>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</si>
  <si>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</si>
  <si>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</si>
  <si>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</si>
  <si>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</si>
  <si>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</si>
  <si>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</si>
  <si>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</si>
  <si>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</si>
  <si>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</si>
  <si>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</si>
  <si>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</si>
  <si>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</si>
  <si>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</si>
  <si>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</si>
  <si>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</si>
  <si>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</si>
  <si>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</si>
  <si>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</si>
  <si>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</si>
  <si>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</si>
  <si>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</si>
  <si>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</si>
  <si>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</si>
  <si>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</si>
  <si>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</si>
  <si>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</si>
  <si>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</si>
  <si>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</si>
  <si>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</si>
  <si>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</si>
  <si>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</si>
  <si>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</si>
  <si>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</si>
  <si>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</si>
  <si>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</si>
  <si>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</si>
  <si>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</si>
  <si>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</si>
  <si>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</si>
  <si>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</si>
  <si>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</si>
  <si>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</si>
  <si>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</si>
  <si>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</si>
  <si>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</si>
  <si>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</si>
  <si>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</si>
  <si>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</si>
  <si>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</si>
  <si>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</si>
  <si>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</si>
  <si>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</si>
  <si>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</si>
  <si>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</si>
  <si>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</si>
  <si>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</si>
  <si>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</si>
  <si>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</si>
  <si>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</si>
  <si>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</si>
  <si>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</si>
  <si>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</si>
  <si>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</si>
  <si>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</si>
  <si>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</si>
  <si>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</si>
  <si>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</si>
  <si>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</si>
  <si>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</si>
  <si>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</si>
  <si>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</si>
  <si>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</si>
  <si>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</si>
  <si>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</si>
  <si>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</si>
  <si>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</si>
  <si>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</si>
  <si>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</si>
  <si>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</si>
  <si>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</si>
  <si>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</si>
  <si>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</si>
  <si>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</si>
  <si>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</si>
  <si>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</si>
  <si>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</si>
  <si>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</si>
  <si>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</si>
  <si>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</si>
  <si>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</si>
  <si>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</si>
  <si>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</si>
  <si>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</si>
  <si>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</si>
  <si>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</si>
  <si>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</si>
  <si>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</si>
  <si>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</si>
  <si>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</si>
  <si>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</si>
  <si>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</si>
  <si>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</si>
  <si>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</si>
  <si>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</si>
  <si>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</si>
  <si>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</si>
  <si>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</si>
  <si>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</si>
  <si>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</si>
  <si>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</si>
  <si>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</si>
  <si>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</si>
  <si>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</si>
  <si>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</si>
  <si>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</si>
  <si>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</si>
  <si>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</si>
  <si>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</si>
  <si>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</si>
  <si>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</si>
  <si>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</si>
  <si>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</si>
  <si>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</si>
  <si>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</si>
  <si>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</si>
  <si>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</si>
  <si>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</si>
  <si>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</si>
  <si>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</si>
  <si>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</si>
  <si>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</si>
  <si>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</si>
  <si>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</si>
  <si>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</si>
  <si>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</si>
  <si>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</si>
  <si>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</si>
  <si>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</si>
  <si>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</si>
  <si>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</si>
  <si>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</si>
  <si>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</si>
  <si>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</si>
  <si>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</si>
  <si>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</si>
  <si>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</si>
  <si>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</si>
  <si>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</si>
  <si>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</si>
  <si>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</si>
  <si>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</si>
  <si>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</si>
  <si>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</si>
  <si>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</si>
  <si>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</si>
  <si>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</si>
  <si>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</si>
  <si>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</si>
  <si>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</si>
  <si>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</si>
  <si>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</si>
  <si>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</si>
  <si>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</si>
  <si>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</si>
  <si>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</si>
  <si>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</si>
  <si>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</si>
  <si>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</si>
  <si>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</si>
  <si>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</si>
  <si>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</si>
  <si>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</si>
  <si>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</si>
  <si>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</si>
  <si>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</si>
  <si>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</si>
  <si>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</si>
  <si>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</si>
  <si>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</si>
  <si>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</si>
  <si>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</si>
  <si>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</si>
  <si>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</si>
  <si>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</si>
  <si>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</si>
  <si>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</si>
  <si>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</si>
  <si>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</si>
  <si>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</si>
  <si>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</si>
  <si>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</si>
  <si>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</si>
  <si>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</si>
  <si>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</si>
  <si>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</si>
  <si>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</si>
  <si>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</si>
  <si>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</si>
  <si>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</si>
  <si>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</si>
  <si>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</si>
  <si>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</si>
  <si>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</si>
  <si>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</si>
  <si>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</si>
  <si>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</si>
  <si>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</si>
  <si>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</si>
  <si>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</si>
  <si>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</si>
  <si>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</si>
  <si>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</si>
  <si>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</si>
  <si>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</si>
  <si>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</si>
  <si>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</si>
  <si>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</si>
  <si>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</si>
  <si>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</si>
  <si>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</si>
  <si>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</si>
  <si>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</si>
  <si>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</si>
  <si>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</si>
  <si>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</si>
  <si>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</si>
  <si>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</si>
  <si>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</si>
  <si>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</si>
  <si>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</si>
  <si>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</si>
  <si>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</si>
  <si>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</si>
  <si>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</si>
  <si>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</si>
  <si>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</si>
  <si>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</si>
  <si>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</si>
  <si>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</si>
  <si>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</si>
  <si>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</si>
  <si>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</si>
  <si>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</si>
  <si>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</si>
  <si>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</si>
  <si>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</si>
  <si>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</si>
  <si>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</si>
  <si>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</si>
  <si>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</si>
  <si>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</si>
  <si>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</si>
  <si>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</si>
  <si>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</si>
  <si>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</si>
  <si>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</si>
  <si>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</si>
  <si>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</si>
  <si>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</si>
  <si>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</si>
  <si>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</si>
  <si>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</si>
  <si>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</si>
  <si>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</si>
  <si>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</si>
  <si>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</si>
  <si>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</si>
  <si>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</si>
  <si>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</si>
  <si>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</si>
  <si>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</si>
  <si>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</si>
  <si>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</si>
  <si>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</si>
  <si>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</si>
  <si>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</si>
  <si>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</si>
  <si>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</si>
  <si>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</si>
  <si>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</si>
  <si>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</si>
  <si>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</si>
  <si>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</si>
  <si>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</si>
  <si>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</si>
  <si>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</si>
  <si>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</si>
  <si>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</si>
  <si>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</si>
  <si>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</si>
  <si>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</si>
  <si>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</si>
  <si>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</si>
  <si>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</si>
  <si>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</si>
  <si>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</si>
  <si>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</si>
  <si>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</si>
  <si>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</si>
  <si>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</si>
  <si>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</si>
  <si>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</si>
  <si>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</si>
  <si>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</si>
  <si>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</si>
  <si>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</si>
  <si>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</si>
  <si>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</si>
  <si>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</si>
  <si>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</si>
  <si>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</si>
  <si>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</si>
  <si>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</si>
  <si>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</si>
  <si>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</si>
  <si>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</si>
  <si>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</si>
  <si>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</si>
  <si>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</si>
  <si>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</si>
  <si>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</si>
  <si>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</si>
  <si>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</si>
  <si>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</si>
  <si>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</si>
  <si>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</si>
  <si>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</si>
  <si>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</si>
  <si>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</si>
  <si>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</si>
  <si>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</si>
  <si>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</si>
  <si>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</si>
  <si>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</si>
  <si>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</si>
  <si>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</si>
  <si>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</si>
  <si>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</si>
  <si>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</si>
  <si>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</si>
  <si>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</si>
  <si>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</si>
  <si>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</si>
  <si>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</si>
  <si>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</si>
  <si>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</si>
  <si>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</si>
  <si>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</si>
  <si>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</si>
  <si>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</si>
  <si>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</si>
  <si>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</si>
  <si>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</si>
  <si>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</si>
  <si>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</si>
  <si>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</si>
  <si>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</si>
  <si>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</si>
  <si>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</si>
  <si>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</si>
  <si>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</si>
  <si>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</si>
  <si>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</si>
  <si>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</si>
  <si>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</si>
  <si>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</si>
  <si>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</si>
  <si>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</si>
  <si>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</si>
  <si>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</si>
  <si>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</si>
  <si>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</si>
  <si>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</si>
  <si>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</si>
  <si>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</si>
  <si>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</si>
  <si>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</si>
  <si>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</si>
  <si>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</si>
  <si>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</si>
  <si>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</si>
  <si>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</si>
  <si>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</si>
  <si>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</si>
  <si>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</si>
  <si>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</si>
  <si>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</si>
  <si>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</si>
  <si>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</si>
  <si>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</si>
  <si>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</si>
  <si>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</si>
  <si>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</si>
  <si>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</si>
  <si>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</si>
  <si>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</si>
  <si>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</si>
  <si>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</si>
  <si>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</si>
  <si>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</si>
  <si>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</si>
  <si>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</si>
  <si>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</si>
  <si>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</si>
  <si>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</si>
  <si>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</si>
  <si>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</si>
  <si>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</si>
  <si>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</si>
  <si>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</si>
  <si>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</si>
  <si>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</si>
  <si>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</si>
  <si>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</si>
  <si>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</si>
  <si>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</si>
  <si>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</si>
  <si>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</si>
  <si>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</si>
  <si>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</si>
  <si>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</si>
  <si>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</si>
  <si>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</si>
  <si>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</si>
  <si>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</si>
  <si>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</si>
  <si>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</si>
  <si>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</si>
  <si>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</si>
  <si>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</si>
  <si>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</si>
  <si>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</si>
  <si>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</si>
  <si>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</si>
  <si>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</si>
  <si>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</si>
  <si>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</si>
  <si>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</si>
  <si>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</si>
  <si>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</si>
  <si>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</si>
  <si>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</si>
  <si>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</si>
  <si>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</si>
  <si>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</si>
  <si>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</si>
  <si>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</si>
  <si>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</si>
  <si>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</si>
  <si>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</si>
  <si>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</si>
  <si>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</si>
  <si>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</si>
  <si>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</si>
  <si>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</si>
  <si>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</si>
  <si>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</si>
  <si>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</si>
  <si>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</si>
  <si>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</si>
  <si>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</si>
  <si>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</si>
  <si>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</si>
  <si>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</si>
  <si>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</si>
  <si>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</si>
  <si>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</si>
  <si>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</si>
  <si>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</si>
  <si>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</si>
  <si>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</si>
  <si>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</si>
  <si>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</si>
  <si>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</si>
  <si>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</si>
  <si>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</si>
  <si>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</si>
  <si>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</si>
  <si>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</si>
  <si>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</si>
  <si>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</si>
  <si>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</si>
  <si>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</si>
  <si>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</si>
  <si>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</si>
  <si>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</si>
  <si>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</si>
  <si>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</si>
  <si>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</si>
  <si>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</si>
  <si>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</si>
  <si>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</si>
  <si>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</si>
  <si>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</si>
  <si>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</si>
  <si>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</si>
  <si>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</si>
  <si>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</si>
  <si>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</si>
  <si>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</si>
  <si>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</si>
  <si>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</si>
  <si>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</si>
  <si>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</si>
  <si>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</si>
  <si>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</si>
  <si>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</si>
  <si>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</si>
  <si>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</si>
  <si>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</si>
  <si>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</si>
  <si>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</si>
  <si>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</si>
  <si>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</si>
  <si>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</si>
  <si>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</si>
  <si>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</si>
  <si>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</si>
  <si>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</si>
  <si>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</si>
  <si>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</si>
  <si>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</si>
  <si>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</si>
  <si>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</si>
  <si>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</si>
  <si>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</si>
  <si>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</si>
  <si>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</si>
  <si>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</si>
  <si>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</si>
  <si>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</si>
  <si>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</si>
  <si>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</si>
  <si>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</si>
  <si>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</si>
  <si>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</si>
  <si>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</si>
  <si>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</si>
  <si>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</si>
  <si>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</si>
  <si>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</si>
  <si>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</si>
  <si>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</si>
  <si>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</si>
  <si>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</si>
  <si>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</si>
  <si>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</si>
  <si>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</si>
  <si>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</si>
  <si>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</si>
  <si>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</si>
  <si>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</si>
  <si>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</si>
  <si>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</si>
  <si>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</si>
  <si>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</si>
  <si>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</si>
  <si>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</si>
  <si>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</si>
  <si>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</si>
  <si>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</si>
  <si>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</si>
  <si>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</si>
  <si>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</si>
  <si>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</si>
  <si>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</si>
  <si>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</si>
  <si>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</si>
  <si>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</si>
  <si>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</si>
  <si>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</si>
  <si>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</si>
  <si>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</si>
  <si>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</si>
  <si>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</si>
  <si>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</si>
  <si>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</si>
  <si>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</si>
  <si>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</si>
  <si>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</si>
  <si>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</si>
  <si>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</si>
  <si>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</si>
  <si>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</si>
  <si>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</si>
  <si>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</si>
  <si>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</si>
  <si>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</si>
  <si>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</si>
  <si>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</si>
  <si>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</si>
  <si>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</si>
  <si>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</si>
  <si>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</si>
  <si>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</si>
  <si>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</si>
  <si>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</si>
  <si>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</si>
  <si>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</si>
  <si>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</si>
  <si>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</si>
  <si>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</si>
  <si>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</si>
  <si>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</si>
  <si>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</si>
  <si>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</si>
  <si>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</si>
  <si>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</si>
  <si>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</si>
  <si>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</si>
  <si>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</si>
  <si>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</si>
  <si>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</si>
  <si>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</si>
  <si>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</si>
  <si>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</si>
  <si>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</si>
  <si>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</si>
  <si>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</si>
  <si>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</si>
  <si>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</si>
  <si>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</si>
  <si>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</si>
  <si>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</si>
  <si>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</si>
  <si>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</si>
  <si>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</si>
  <si>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</si>
  <si>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</si>
  <si>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</si>
  <si>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</si>
  <si>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</si>
  <si>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</si>
  <si>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</si>
  <si>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</si>
  <si>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</si>
  <si>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</si>
  <si>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</si>
  <si>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</si>
  <si>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</si>
  <si>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</si>
  <si>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</si>
  <si>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</si>
  <si>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</si>
  <si>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</si>
  <si>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</si>
  <si>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</si>
  <si>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</si>
  <si>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</si>
  <si>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</si>
  <si>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</si>
  <si>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</si>
  <si>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</si>
  <si>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</si>
  <si>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</si>
  <si>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</si>
  <si>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</si>
  <si>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</si>
  <si>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</si>
  <si>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</si>
  <si>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</si>
  <si>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</si>
  <si>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</si>
  <si>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</si>
  <si>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</si>
  <si>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</si>
  <si>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</si>
  <si>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</si>
  <si>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</si>
  <si>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</si>
  <si>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</si>
  <si>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</si>
  <si>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</si>
  <si>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</si>
  <si>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</si>
  <si>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</si>
  <si>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</si>
  <si>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</si>
  <si>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</si>
  <si>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</si>
  <si>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</si>
  <si>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</si>
  <si>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</si>
  <si>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</si>
  <si>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</si>
  <si>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</si>
  <si>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</si>
  <si>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</si>
  <si>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</si>
  <si>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</si>
  <si>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</si>
  <si>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</si>
  <si>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</si>
  <si>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</si>
  <si>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</si>
  <si>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</si>
  <si>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</si>
  <si>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</si>
  <si>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</si>
  <si>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</si>
  <si>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</si>
  <si>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</si>
  <si>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</si>
  <si>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</si>
  <si>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</si>
  <si>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</si>
  <si>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</si>
  <si>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</si>
  <si>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</si>
  <si>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</si>
  <si>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</si>
  <si>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</si>
  <si>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</si>
  <si>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</si>
  <si>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</si>
  <si>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</si>
  <si>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</si>
  <si>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</si>
  <si>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</si>
  <si>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</si>
  <si>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t>
  </si>
  <si>
    <t>Rollinsford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</si>
</sst>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1611</v>
      </c>
      <c r="B2" s="21">
        <v>463</v>
      </c>
      <c r="C2" s="21">
        <v>463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624199.81000000006</v>
      </c>
      <c r="G9" s="18">
        <v>0</v>
      </c>
      <c r="H9" s="18">
        <v>0</v>
      </c>
      <c r="I9" s="18">
        <v>0</v>
      </c>
      <c r="J9" s="67">
        <f>SUM(I439)</f>
        <v>0</v>
      </c>
      <c r="K9" s="24" t="s">
        <v>288</v>
      </c>
      <c r="L9" s="24" t="s">
        <v>288</v>
      </c>
      <c r="M9" s="8"/>
      <c r="N9" s="266"/>
    </row>
    <row r="10" spans="1:14" s="3" customFormat="1" ht="12.2" customHeight="1" x14ac:dyDescent="0.15">
      <c r="A10" s="1" t="s">
        <v>562</v>
      </c>
      <c r="B10" s="2" t="s">
        <v>289</v>
      </c>
      <c r="C10" s="6">
        <v>2</v>
      </c>
      <c r="D10" s="2" t="s">
        <v>428</v>
      </c>
      <c r="E10" s="6">
        <v>110</v>
      </c>
      <c r="F10" s="18">
        <v>7492.53</v>
      </c>
      <c r="G10" s="18">
        <v>0</v>
      </c>
      <c r="H10" s="18">
        <v>0</v>
      </c>
      <c r="I10" s="18">
        <v>0</v>
      </c>
      <c r="J10" s="67">
        <f>SUM(I440)</f>
        <v>336706.89</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559237.61+379523.38+16645.9</f>
        <v>955406.89</v>
      </c>
      <c r="G12" s="18">
        <v>385079.25</v>
      </c>
      <c r="H12" s="18">
        <f>551112.47-25909.47</f>
        <v>525203</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167.73</v>
      </c>
      <c r="G13" s="18">
        <v>0</v>
      </c>
      <c r="H13" s="18">
        <v>0</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0</v>
      </c>
      <c r="G14" s="18">
        <v>2780.44</v>
      </c>
      <c r="H14" s="18">
        <v>8137.84</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1587266.96</v>
      </c>
      <c r="G19" s="41">
        <f>SUM(G9:G18)</f>
        <v>387859.69</v>
      </c>
      <c r="H19" s="41">
        <f>SUM(H9:H18)</f>
        <v>533340.84</v>
      </c>
      <c r="I19" s="41">
        <f>SUM(I9:I18)</f>
        <v>0</v>
      </c>
      <c r="J19" s="41">
        <f>SUM(J9:J18)</f>
        <v>336706.89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551112.47+384490.19-10593.95</f>
        <v>925008.71</v>
      </c>
      <c r="G22" s="18">
        <f>376054.7+4057.74</f>
        <v>380112.44</v>
      </c>
      <c r="H22" s="18">
        <f>533328.14</f>
        <v>533328.14</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92471.38</v>
      </c>
      <c r="G24" s="18">
        <v>5669.1</v>
      </c>
      <c r="H24" s="18">
        <v>12.7</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2481.5</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2078.15</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1019961.59</v>
      </c>
      <c r="G32" s="41">
        <f>SUM(G22:G31)</f>
        <v>387859.69</v>
      </c>
      <c r="H32" s="41">
        <f>SUM(H22:H31)</f>
        <v>533340.84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97000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125599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SUM(I459)</f>
        <v>336706.89</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344706.37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567305.37</v>
      </c>
      <c r="G51" s="41">
        <f>SUM(G35:G50)</f>
        <v>0</v>
      </c>
      <c r="H51" s="41">
        <f>SUM(H35:H50)</f>
        <v>0</v>
      </c>
      <c r="I51" s="41">
        <f>SUM(I35:I50)</f>
        <v>0</v>
      </c>
      <c r="J51" s="41">
        <f>SUM(J35:J50)</f>
        <v>336706.89</v>
      </c>
      <c r="K51" s="45" t="s">
        <v>288</v>
      </c>
      <c r="L51" s="45" t="s">
        <v>288</v>
      </c>
      <c r="N51" s="264"/>
    </row>
    <row r="52" spans="1:14" s="3" customFormat="1" ht="12.2" customHeight="1" thickTop="1" x14ac:dyDescent="0.15">
      <c r="A52" s="38" t="s">
        <v>455</v>
      </c>
      <c r="B52" s="39" t="s">
        <v>289</v>
      </c>
      <c r="C52" s="6">
        <v>37</v>
      </c>
      <c r="D52" s="39" t="s">
        <v>653</v>
      </c>
      <c r="E52" s="39"/>
      <c r="F52" s="41">
        <f>F51+F32</f>
        <v>1587266.96</v>
      </c>
      <c r="G52" s="41">
        <f>G51+G32</f>
        <v>387859.69</v>
      </c>
      <c r="H52" s="41">
        <f>H51+H32</f>
        <v>533340.84</v>
      </c>
      <c r="I52" s="41">
        <f>I51+I32</f>
        <v>0</v>
      </c>
      <c r="J52" s="41">
        <f>J51+J32</f>
        <v>336706.89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5023976-589736</f>
        <v>4434240</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4434240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92.04</v>
      </c>
      <c r="G96" s="18">
        <v>0</v>
      </c>
      <c r="H96" s="18">
        <v>0</v>
      </c>
      <c r="I96" s="18">
        <v>0</v>
      </c>
      <c r="J96" s="18">
        <v>3054.68</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31828.85+106.95+901.9-12745.1+1691+49.1</f>
        <v>21832.699999999997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1980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53539.89</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55611.93</v>
      </c>
      <c r="G111" s="41">
        <f>SUM(G96:G110)</f>
        <v>21832.699999999997</v>
      </c>
      <c r="H111" s="41">
        <f>SUM(H96:H110)</f>
        <v>0</v>
      </c>
      <c r="I111" s="41">
        <f>SUM(I96:I110)</f>
        <v>0</v>
      </c>
      <c r="J111" s="41">
        <f>SUM(J96:J110)</f>
        <v>3054.68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4489851.93</v>
      </c>
      <c r="G112" s="41">
        <f>G60+G111</f>
        <v>21832.699999999997</v>
      </c>
      <c r="H112" s="41">
        <f>H60+H79+H94+H111</f>
        <v>0</v>
      </c>
      <c r="I112" s="41">
        <f>I60+I111</f>
        <v>0</v>
      </c>
      <c r="J112" s="41">
        <f>J60+J111</f>
        <v>3054.68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578506.22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589736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1170198.31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25660.47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35678.25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520.57000000000005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61338.720000000001</v>
      </c>
      <c r="G136" s="41">
        <f>SUM(G123:G135)</f>
        <v>520.57000000000005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1231537.03</v>
      </c>
      <c r="G140" s="41">
        <f>G121+SUM(G136:G137)</f>
        <v>520.57000000000005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45724.88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11468.17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3838.07</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3838.07</v>
      </c>
      <c r="G162" s="41">
        <f>SUM(G150:G161)</f>
        <v>11468.17</v>
      </c>
      <c r="H162" s="41">
        <f>SUM(H150:H161)</f>
        <v>45724.88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3838.07</v>
      </c>
      <c r="G169" s="41">
        <f>G147+G162+SUM(G163:G168)</f>
        <v>11468.17</v>
      </c>
      <c r="H169" s="41">
        <f>H147+H162+SUM(H163:H168)</f>
        <v>45724.88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19117.04</v>
      </c>
      <c r="H179" s="18">
        <v>0</v>
      </c>
      <c r="I179" s="18">
        <v>0</v>
      </c>
      <c r="J179" s="18">
        <v>75001</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19117.04</v>
      </c>
      <c r="H183" s="41">
        <f>SUM(H179:H182)</f>
        <v>0</v>
      </c>
      <c r="I183" s="41">
        <f>SUM(I179:I182)</f>
        <v>0</v>
      </c>
      <c r="J183" s="41">
        <f>SUM(J179:J182)</f>
        <v>75001</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19117.04</v>
      </c>
      <c r="H192" s="41">
        <f>+H183+SUM(H188:H191)</f>
        <v>0</v>
      </c>
      <c r="I192" s="41">
        <f>I177+I183+SUM(I188:I191)</f>
        <v>0</v>
      </c>
      <c r="J192" s="41">
        <f>J183</f>
        <v>75001</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5725227.0300000003</v>
      </c>
      <c r="G193" s="47">
        <f>G112+G140+G169+G192</f>
        <v>52938.479999999996</v>
      </c>
      <c r="H193" s="47">
        <f>H112+H140+H169+H192</f>
        <v>45724.88</v>
      </c>
      <c r="I193" s="47">
        <f>I112+I140+I169+I192</f>
        <v>0</v>
      </c>
      <c r="J193" s="47">
        <f>J112+J140+J192</f>
        <v>78055.679999999993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749388.08+34163.05+29562.5</f>
        <v>813113.63</v>
      </c>
      <c r="G197" s="18">
        <f>193883.9+1765.26+1685.88+810.11+6222.62+673.67+55278.63+2613.59+2261.84+101841.43+3887.74+7.97+9124</f>
        <v>380056.64</v>
      </c>
      <c r="H197" s="18">
        <f>26664.96+14068.64+600+13245.05+2424.14+157.2+21542.24</f>
        <v>78702.23</v>
      </c>
      <c r="I197" s="18">
        <f>15020.39+5927.92+2125.8</f>
        <v>23074.109999999997</v>
      </c>
      <c r="J197" s="18">
        <f>58912.06+7005.3+4494.41+9766.21+203.4</f>
        <v>80381.38</v>
      </c>
      <c r="K197" s="18">
        <v>1344.59</v>
      </c>
      <c r="L197" s="19">
        <f>SUM(F197:K197)</f>
        <v>1376672.5800000003</v>
      </c>
      <c r="M197" s="8"/>
      <c r="N197" s="266"/>
    </row>
    <row r="198" spans="1:14" s="3" customFormat="1" ht="12.2" customHeight="1" x14ac:dyDescent="0.15">
      <c r="A198" s="1" t="s">
        <v>439</v>
      </c>
      <c r="B198" s="2" t="s">
        <v>341</v>
      </c>
      <c r="C198" s="2" t="s">
        <v>291</v>
      </c>
      <c r="D198" s="2" t="s">
        <v>431</v>
      </c>
      <c r="E198" s="6">
        <v>1200</v>
      </c>
      <c r="F198" s="18">
        <f>102041+32455.49+157535.52+2547.18</f>
        <v>294579.19</v>
      </c>
      <c r="G198" s="18">
        <f>11318.97+294.9+239.12+99+7751.13+2482.79+12007.59+841.04+194.84+17714.33+2623.32+15663.51+1569.98</f>
        <v>72800.51999999999</v>
      </c>
      <c r="H198" s="18">
        <f>34228.5</f>
        <v>34228.5</v>
      </c>
      <c r="I198" s="18">
        <f>1754.23+300</f>
        <v>2054.23</v>
      </c>
      <c r="J198" s="18">
        <v>361.95</v>
      </c>
      <c r="K198" s="18">
        <v>0</v>
      </c>
      <c r="L198" s="19">
        <f>SUM(F198:K198)</f>
        <v>404024.38999999996</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0</v>
      </c>
      <c r="G200" s="18">
        <v>0</v>
      </c>
      <c r="H200" s="18">
        <v>0</v>
      </c>
      <c r="I200" s="18">
        <v>0</v>
      </c>
      <c r="J200" s="18">
        <v>0</v>
      </c>
      <c r="K200" s="18">
        <v>0</v>
      </c>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58479.08+63832+68175</f>
        <v>190486.08000000002</v>
      </c>
      <c r="G202" s="18">
        <f>23724.52+329.72+181.72+82.55+4079.18+10152.22+10290+476.19+196+90.75+4774.59+11081.2+24263.28+372.92+210.7+90.75+4956.16+11835.2</f>
        <v>107187.65</v>
      </c>
      <c r="H202" s="18">
        <f>408.99+233.76+35653.16+672</f>
        <v>36967.910000000003</v>
      </c>
      <c r="I202" s="18">
        <f>100+634.92+21.4</f>
        <v>756.31999999999994</v>
      </c>
      <c r="J202" s="18">
        <v>0</v>
      </c>
      <c r="K202" s="18">
        <v>0</v>
      </c>
      <c r="L202" s="19">
        <f t="shared" ref="L202:L208" si="0">SUM(F202:K202)</f>
        <v>335397.96000000002</v>
      </c>
      <c r="M202" s="8"/>
      <c r="N202" s="266"/>
    </row>
    <row r="203" spans="1:14" s="3" customFormat="1" ht="12.2" customHeight="1" x14ac:dyDescent="0.15">
      <c r="A203" s="1" t="s">
        <v>443</v>
      </c>
      <c r="B203" s="2" t="s">
        <v>341</v>
      </c>
      <c r="C203" s="2" t="s">
        <v>295</v>
      </c>
      <c r="D203" s="2" t="s">
        <v>431</v>
      </c>
      <c r="E203" s="6">
        <v>2200</v>
      </c>
      <c r="F203" s="18">
        <v>41585</v>
      </c>
      <c r="G203" s="18">
        <f>7533.65+812.72+117.6+76.2+3089.46+576.3-884.12</f>
        <v>11321.81</v>
      </c>
      <c r="H203" s="18">
        <v>0</v>
      </c>
      <c r="I203" s="18">
        <f>394.78+3433.36</f>
        <v>3828.1400000000003</v>
      </c>
      <c r="J203" s="18">
        <v>791.16</v>
      </c>
      <c r="K203" s="18">
        <v>917.7</v>
      </c>
      <c r="L203" s="19">
        <f t="shared" si="0"/>
        <v>58443.81</v>
      </c>
      <c r="M203" s="8"/>
      <c r="N203" s="266"/>
    </row>
    <row r="204" spans="1:14" s="3" customFormat="1" ht="12.2" customHeight="1" x14ac:dyDescent="0.15">
      <c r="A204" s="1" t="s">
        <v>444</v>
      </c>
      <c r="B204" s="2" t="s">
        <v>341</v>
      </c>
      <c r="C204" s="2" t="s">
        <v>296</v>
      </c>
      <c r="D204" s="2" t="s">
        <v>431</v>
      </c>
      <c r="E204" s="6">
        <v>2300</v>
      </c>
      <c r="F204" s="18">
        <f>6100+2591.94+15</f>
        <v>8706.94</v>
      </c>
      <c r="G204" s="18">
        <f>447.53+198.33+294.96</f>
        <v>940.81999999999994</v>
      </c>
      <c r="H204" s="18">
        <f>188.27+700.56+717.25+9650+4395.94+980.5+193305</f>
        <v>209937.52</v>
      </c>
      <c r="I204" s="18">
        <v>1269.83</v>
      </c>
      <c r="J204" s="18">
        <v>0</v>
      </c>
      <c r="K204" s="18">
        <v>3259.3</v>
      </c>
      <c r="L204" s="19">
        <f t="shared" si="0"/>
        <v>224114.40999999997</v>
      </c>
      <c r="M204" s="8"/>
      <c r="N204" s="266"/>
    </row>
    <row r="205" spans="1:14" s="3" customFormat="1" ht="12.2" customHeight="1" x14ac:dyDescent="0.15">
      <c r="A205" s="1" t="s">
        <v>445</v>
      </c>
      <c r="B205" s="2" t="s">
        <v>341</v>
      </c>
      <c r="C205" s="2" t="s">
        <v>297</v>
      </c>
      <c r="D205" s="2" t="s">
        <v>431</v>
      </c>
      <c r="E205" s="6">
        <v>2400</v>
      </c>
      <c r="F205" s="18">
        <f>35716.26+95000</f>
        <v>130716.26000000001</v>
      </c>
      <c r="G205" s="18">
        <f>5696.36+24029+476.19+286.44+90.75+2544.95+6632.86+4007.57+15890.58+3978.99</f>
        <v>63633.689999999995</v>
      </c>
      <c r="H205" s="18">
        <f>2092.72+626.58</f>
        <v>2719.2999999999997</v>
      </c>
      <c r="I205" s="18">
        <f>1050.08</f>
        <v>1050.08</v>
      </c>
      <c r="J205" s="18">
        <v>0</v>
      </c>
      <c r="K205" s="18">
        <v>0</v>
      </c>
      <c r="L205" s="19">
        <f t="shared" si="0"/>
        <v>198119.33</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f>111555.6</f>
        <v>111555.6</v>
      </c>
      <c r="G207" s="18">
        <f>35596+169.8+173.74+90.75+7683.04+11391.68+101.39</f>
        <v>55206.400000000001</v>
      </c>
      <c r="H207" s="18">
        <f>9209+3704.75+3731.07+5785.55+2142.25+8532.23+173505.21+7001+56252.36</f>
        <v>269863.42</v>
      </c>
      <c r="I207" s="18">
        <f>13337.76+18570.49+25986.72</f>
        <v>57894.97</v>
      </c>
      <c r="J207" s="18">
        <f>6084+10000</f>
        <v>16084</v>
      </c>
      <c r="K207" s="18">
        <v>0</v>
      </c>
      <c r="L207" s="19">
        <f t="shared" si="0"/>
        <v>510604.39</v>
      </c>
      <c r="M207" s="8"/>
      <c r="N207" s="266"/>
    </row>
    <row r="208" spans="1:14" s="3" customFormat="1" ht="12.2" customHeight="1" x14ac:dyDescent="0.15">
      <c r="A208" s="1" t="s">
        <v>448</v>
      </c>
      <c r="B208" s="2" t="s">
        <v>341</v>
      </c>
      <c r="C208" s="2" t="s">
        <v>300</v>
      </c>
      <c r="D208" s="2" t="s">
        <v>431</v>
      </c>
      <c r="E208" s="6">
        <v>2700</v>
      </c>
      <c r="F208" s="18">
        <v>0</v>
      </c>
      <c r="G208" s="18">
        <v>0</v>
      </c>
      <c r="H208" s="18">
        <f>7813.36+101429+642.9</f>
        <v>109885.26</v>
      </c>
      <c r="I208" s="18">
        <v>0</v>
      </c>
      <c r="J208" s="18">
        <v>0</v>
      </c>
      <c r="K208" s="18">
        <v>0</v>
      </c>
      <c r="L208" s="19">
        <f t="shared" si="0"/>
        <v>109885.26</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1590742.7000000002</v>
      </c>
      <c r="G211" s="41">
        <f t="shared" si="1"/>
        <v>691147.53</v>
      </c>
      <c r="H211" s="41">
        <f t="shared" si="1"/>
        <v>742304.14</v>
      </c>
      <c r="I211" s="41">
        <f t="shared" si="1"/>
        <v>89927.679999999993</v>
      </c>
      <c r="J211" s="41">
        <f t="shared" si="1"/>
        <v>97618.49</v>
      </c>
      <c r="K211" s="41">
        <f t="shared" si="1"/>
        <v>5521.59</v>
      </c>
      <c r="L211" s="41">
        <f t="shared" si="1"/>
        <v>3217262.1300000004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0</v>
      </c>
      <c r="G215" s="18">
        <v>0</v>
      </c>
      <c r="H215" s="18">
        <v>459591.99</v>
      </c>
      <c r="I215" s="18">
        <v>0</v>
      </c>
      <c r="J215" s="18">
        <v>0</v>
      </c>
      <c r="K215" s="18">
        <v>0</v>
      </c>
      <c r="L215" s="19">
        <f>SUM(F215:K215)</f>
        <v>459591.99</v>
      </c>
      <c r="M215" s="8"/>
      <c r="N215" s="266"/>
    </row>
    <row r="216" spans="1:14" s="3" customFormat="1" ht="12.2" customHeight="1" x14ac:dyDescent="0.15">
      <c r="A216" s="1" t="s">
        <v>439</v>
      </c>
      <c r="B216" s="2" t="s">
        <v>346</v>
      </c>
      <c r="C216" s="2" t="s">
        <v>291</v>
      </c>
      <c r="D216" s="2" t="s">
        <v>431</v>
      </c>
      <c r="E216" s="6">
        <v>1200</v>
      </c>
      <c r="F216" s="18">
        <v>15483</v>
      </c>
      <c r="G216" s="18">
        <f>1185.97+2687.88</f>
        <v>3873.8500000000004</v>
      </c>
      <c r="H216" s="18">
        <f>147001.2+45884.88</f>
        <v>192886.08000000002</v>
      </c>
      <c r="I216" s="18">
        <v>0</v>
      </c>
      <c r="J216" s="18">
        <v>0</v>
      </c>
      <c r="K216" s="18">
        <v>0</v>
      </c>
      <c r="L216" s="19">
        <f>SUM(F216:K216)</f>
        <v>212242.93000000002</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0</v>
      </c>
      <c r="G218" s="18">
        <v>0</v>
      </c>
      <c r="H218" s="18">
        <v>0</v>
      </c>
      <c r="I218" s="18">
        <v>0</v>
      </c>
      <c r="J218" s="18">
        <v>0</v>
      </c>
      <c r="K218" s="18">
        <v>0</v>
      </c>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3248.96</f>
        <v>3248.96</v>
      </c>
      <c r="G220" s="18">
        <f>1278.74+21.6+9.1+4.1+226.48+563.94</f>
        <v>2103.96</v>
      </c>
      <c r="H220" s="18">
        <v>0</v>
      </c>
      <c r="I220" s="18">
        <v>0</v>
      </c>
      <c r="J220" s="18">
        <v>0</v>
      </c>
      <c r="K220" s="18">
        <v>0</v>
      </c>
      <c r="L220" s="19">
        <f t="shared" ref="L220:L226" si="2">SUM(F220:K220)</f>
        <v>5352.92</v>
      </c>
      <c r="M220" s="8"/>
      <c r="N220" s="266"/>
    </row>
    <row r="221" spans="1:14" s="3" customFormat="1" ht="12.2" customHeight="1" x14ac:dyDescent="0.15">
      <c r="A221" s="1" t="s">
        <v>443</v>
      </c>
      <c r="B221" s="2" t="s">
        <v>346</v>
      </c>
      <c r="C221" s="2" t="s">
        <v>295</v>
      </c>
      <c r="D221" s="2" t="s">
        <v>431</v>
      </c>
      <c r="E221" s="6">
        <v>2200</v>
      </c>
      <c r="F221" s="18">
        <v>0</v>
      </c>
      <c r="G221" s="18">
        <v>0</v>
      </c>
      <c r="H221" s="18">
        <v>0</v>
      </c>
      <c r="I221" s="18">
        <v>0</v>
      </c>
      <c r="J221" s="18">
        <v>0</v>
      </c>
      <c r="K221" s="18">
        <v>0</v>
      </c>
      <c r="L221" s="19">
        <f t="shared" si="2"/>
        <v>0</v>
      </c>
      <c r="M221" s="8"/>
      <c r="N221" s="266"/>
    </row>
    <row r="222" spans="1:14" s="3" customFormat="1" ht="12.2" customHeight="1" x14ac:dyDescent="0.15">
      <c r="A222" s="1" t="s">
        <v>444</v>
      </c>
      <c r="B222" s="2" t="s">
        <v>346</v>
      </c>
      <c r="C222" s="2" t="s">
        <v>296</v>
      </c>
      <c r="D222" s="2" t="s">
        <v>431</v>
      </c>
      <c r="E222" s="6">
        <v>2300</v>
      </c>
      <c r="F222" s="18">
        <v>0</v>
      </c>
      <c r="G222" s="18">
        <v>0</v>
      </c>
      <c r="H222" s="18">
        <v>0</v>
      </c>
      <c r="I222" s="18">
        <v>0</v>
      </c>
      <c r="J222" s="18">
        <v>0</v>
      </c>
      <c r="K222" s="18">
        <v>0</v>
      </c>
      <c r="L222" s="19">
        <f t="shared" si="2"/>
        <v>0</v>
      </c>
      <c r="M222" s="8"/>
      <c r="N222" s="266"/>
    </row>
    <row r="223" spans="1:14" s="3" customFormat="1" ht="12.2" customHeight="1" x14ac:dyDescent="0.15">
      <c r="A223" s="1" t="s">
        <v>445</v>
      </c>
      <c r="B223" s="2" t="s">
        <v>346</v>
      </c>
      <c r="C223" s="2" t="s">
        <v>297</v>
      </c>
      <c r="D223" s="2" t="s">
        <v>431</v>
      </c>
      <c r="E223" s="6">
        <v>2400</v>
      </c>
      <c r="F223" s="18">
        <v>0</v>
      </c>
      <c r="G223" s="18">
        <v>0</v>
      </c>
      <c r="H223" s="18">
        <v>0</v>
      </c>
      <c r="I223" s="18">
        <v>0</v>
      </c>
      <c r="J223" s="18">
        <v>0</v>
      </c>
      <c r="K223" s="18">
        <v>0</v>
      </c>
      <c r="L223" s="19">
        <f t="shared" si="2"/>
        <v>0</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0</v>
      </c>
      <c r="G225" s="18">
        <v>0</v>
      </c>
      <c r="H225" s="18">
        <v>0</v>
      </c>
      <c r="I225" s="18">
        <v>0</v>
      </c>
      <c r="J225" s="18">
        <v>0</v>
      </c>
      <c r="K225" s="18">
        <v>0</v>
      </c>
      <c r="L225" s="19">
        <f t="shared" si="2"/>
        <v>0</v>
      </c>
      <c r="M225" s="8"/>
      <c r="N225" s="266"/>
    </row>
    <row r="226" spans="1:14" s="3" customFormat="1" ht="12.2" customHeight="1" x14ac:dyDescent="0.15">
      <c r="A226" s="1" t="s">
        <v>448</v>
      </c>
      <c r="B226" s="2" t="s">
        <v>346</v>
      </c>
      <c r="C226" s="2" t="s">
        <v>300</v>
      </c>
      <c r="D226" s="2" t="s">
        <v>431</v>
      </c>
      <c r="E226" s="6">
        <v>2700</v>
      </c>
      <c r="F226" s="18">
        <v>0</v>
      </c>
      <c r="G226" s="18">
        <v>0</v>
      </c>
      <c r="H226" s="18">
        <f>32457+226.08+1402.7</f>
        <v>34085.78</v>
      </c>
      <c r="I226" s="18">
        <v>0</v>
      </c>
      <c r="J226" s="18">
        <v>0</v>
      </c>
      <c r="K226" s="18">
        <v>0</v>
      </c>
      <c r="L226" s="19">
        <f t="shared" si="2"/>
        <v>34085.78</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18731.96</v>
      </c>
      <c r="G229" s="41">
        <f>SUM(G215:G228)</f>
        <v>5977.81</v>
      </c>
      <c r="H229" s="41">
        <f>SUM(H215:H228)</f>
        <v>686563.85000000009</v>
      </c>
      <c r="I229" s="41">
        <f>SUM(I215:I228)</f>
        <v>0</v>
      </c>
      <c r="J229" s="41">
        <f>SUM(J215:J228)</f>
        <v>0</v>
      </c>
      <c r="K229" s="41">
        <f t="shared" si="3"/>
        <v>0</v>
      </c>
      <c r="L229" s="41">
        <f t="shared" si="3"/>
        <v>711273.62000000011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0</v>
      </c>
      <c r="G233" s="18">
        <v>0</v>
      </c>
      <c r="H233" s="18">
        <v>1056340.8700000001</v>
      </c>
      <c r="I233" s="18">
        <v>0</v>
      </c>
      <c r="J233" s="18">
        <v>0</v>
      </c>
      <c r="K233" s="18">
        <v>0</v>
      </c>
      <c r="L233" s="19">
        <f>SUM(F233:K233)</f>
        <v>1056340.8700000001</v>
      </c>
      <c r="M233" s="8"/>
      <c r="N233" s="266"/>
    </row>
    <row r="234" spans="1:14" s="3" customFormat="1" ht="12.2" customHeight="1" x14ac:dyDescent="0.15">
      <c r="A234" s="1" t="s">
        <v>439</v>
      </c>
      <c r="B234" s="2" t="s">
        <v>350</v>
      </c>
      <c r="C234" s="2" t="s">
        <v>291</v>
      </c>
      <c r="D234" s="2" t="s">
        <v>431</v>
      </c>
      <c r="E234" s="6">
        <v>1200</v>
      </c>
      <c r="F234" s="18">
        <v>15483</v>
      </c>
      <c r="G234" s="18">
        <f>1185.97+2687.88</f>
        <v>3873.8500000000004</v>
      </c>
      <c r="H234" s="18">
        <v>284945.52</v>
      </c>
      <c r="I234" s="18">
        <v>0</v>
      </c>
      <c r="J234" s="18">
        <v>0</v>
      </c>
      <c r="K234" s="18">
        <v>0</v>
      </c>
      <c r="L234" s="19">
        <f>SUM(F234:K234)</f>
        <v>304302.37</v>
      </c>
      <c r="M234" s="8"/>
      <c r="N234" s="266"/>
    </row>
    <row r="235" spans="1:14" s="3" customFormat="1" ht="12.2" customHeight="1" x14ac:dyDescent="0.15">
      <c r="A235" s="1" t="s">
        <v>440</v>
      </c>
      <c r="B235" s="2" t="s">
        <v>350</v>
      </c>
      <c r="C235" s="2" t="s">
        <v>292</v>
      </c>
      <c r="D235" s="2" t="s">
        <v>431</v>
      </c>
      <c r="E235" s="6">
        <v>1300</v>
      </c>
      <c r="F235" s="18">
        <v>0</v>
      </c>
      <c r="G235" s="18">
        <v>0</v>
      </c>
      <c r="H235" s="18">
        <v>0</v>
      </c>
      <c r="I235" s="18">
        <v>0</v>
      </c>
      <c r="J235" s="18">
        <v>0</v>
      </c>
      <c r="K235" s="18">
        <v>0</v>
      </c>
      <c r="L235" s="19">
        <f>SUM(F235:K235)</f>
        <v>0</v>
      </c>
      <c r="M235" s="8"/>
      <c r="N235" s="266"/>
    </row>
    <row r="236" spans="1:14" s="3" customFormat="1" ht="12.2" customHeight="1" x14ac:dyDescent="0.15">
      <c r="A236" s="1" t="s">
        <v>441</v>
      </c>
      <c r="B236" s="2" t="s">
        <v>350</v>
      </c>
      <c r="C236" s="2" t="s">
        <v>293</v>
      </c>
      <c r="D236" s="2" t="s">
        <v>431</v>
      </c>
      <c r="E236" s="6">
        <v>1400</v>
      </c>
      <c r="F236" s="18">
        <v>0</v>
      </c>
      <c r="G236" s="18">
        <v>0</v>
      </c>
      <c r="H236" s="18">
        <v>0</v>
      </c>
      <c r="I236" s="18">
        <v>0</v>
      </c>
      <c r="J236" s="18">
        <v>0</v>
      </c>
      <c r="K236" s="18">
        <v>0</v>
      </c>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3248.96</v>
      </c>
      <c r="G238" s="18">
        <f>1278.74+21.6+9.1+4.1+226.48+563.94</f>
        <v>2103.96</v>
      </c>
      <c r="H238" s="18">
        <v>0</v>
      </c>
      <c r="I238" s="18">
        <v>0</v>
      </c>
      <c r="J238" s="18">
        <v>0</v>
      </c>
      <c r="K238" s="18">
        <v>0</v>
      </c>
      <c r="L238" s="19">
        <f t="shared" ref="L238:L244" si="4">SUM(F238:K238)</f>
        <v>5352.92</v>
      </c>
      <c r="M238" s="8"/>
      <c r="N238" s="266"/>
    </row>
    <row r="239" spans="1:14" s="3" customFormat="1" ht="12.2" customHeight="1" x14ac:dyDescent="0.15">
      <c r="A239" s="1" t="s">
        <v>443</v>
      </c>
      <c r="B239" s="2" t="s">
        <v>350</v>
      </c>
      <c r="C239" s="2" t="s">
        <v>295</v>
      </c>
      <c r="D239" s="2" t="s">
        <v>431</v>
      </c>
      <c r="E239" s="6">
        <v>2200</v>
      </c>
      <c r="F239" s="18">
        <v>0</v>
      </c>
      <c r="G239" s="18">
        <v>0</v>
      </c>
      <c r="H239" s="18">
        <v>0</v>
      </c>
      <c r="I239" s="18">
        <v>0</v>
      </c>
      <c r="J239" s="18">
        <v>0</v>
      </c>
      <c r="K239" s="18">
        <v>0</v>
      </c>
      <c r="L239" s="19">
        <f t="shared" si="4"/>
        <v>0</v>
      </c>
      <c r="M239" s="8"/>
      <c r="N239" s="266"/>
    </row>
    <row r="240" spans="1:14" s="3" customFormat="1" ht="12.2" customHeight="1" x14ac:dyDescent="0.15">
      <c r="A240" s="1" t="s">
        <v>444</v>
      </c>
      <c r="B240" s="2" t="s">
        <v>350</v>
      </c>
      <c r="C240" s="2" t="s">
        <v>296</v>
      </c>
      <c r="D240" s="2" t="s">
        <v>431</v>
      </c>
      <c r="E240" s="6">
        <v>2300</v>
      </c>
      <c r="F240" s="18">
        <v>0</v>
      </c>
      <c r="G240" s="18">
        <v>0</v>
      </c>
      <c r="H240" s="18">
        <v>0</v>
      </c>
      <c r="I240" s="18">
        <v>0</v>
      </c>
      <c r="J240" s="18">
        <v>0</v>
      </c>
      <c r="K240" s="18">
        <v>0</v>
      </c>
      <c r="L240" s="19">
        <f t="shared" si="4"/>
        <v>0</v>
      </c>
      <c r="M240" s="8"/>
      <c r="N240" s="266"/>
    </row>
    <row r="241" spans="1:14" s="3" customFormat="1" ht="12.2" customHeight="1" x14ac:dyDescent="0.15">
      <c r="A241" s="1" t="s">
        <v>445</v>
      </c>
      <c r="B241" s="2" t="s">
        <v>350</v>
      </c>
      <c r="C241" s="2" t="s">
        <v>297</v>
      </c>
      <c r="D241" s="2" t="s">
        <v>431</v>
      </c>
      <c r="E241" s="6">
        <v>2400</v>
      </c>
      <c r="F241" s="18">
        <v>0</v>
      </c>
      <c r="G241" s="18">
        <v>0</v>
      </c>
      <c r="H241" s="18">
        <v>0</v>
      </c>
      <c r="I241" s="18">
        <v>0</v>
      </c>
      <c r="J241" s="18">
        <v>0</v>
      </c>
      <c r="K241" s="18">
        <v>0</v>
      </c>
      <c r="L241" s="19">
        <f t="shared" si="4"/>
        <v>0</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0</v>
      </c>
      <c r="G243" s="18">
        <v>0</v>
      </c>
      <c r="H243" s="18">
        <v>0</v>
      </c>
      <c r="I243" s="18">
        <v>0</v>
      </c>
      <c r="J243" s="18">
        <v>0</v>
      </c>
      <c r="K243" s="18">
        <v>0</v>
      </c>
      <c r="L243" s="19">
        <f t="shared" si="4"/>
        <v>0</v>
      </c>
      <c r="M243" s="8"/>
      <c r="N243" s="266"/>
    </row>
    <row r="244" spans="1:14" s="3" customFormat="1" ht="12.2" customHeight="1" x14ac:dyDescent="0.15">
      <c r="A244" s="1" t="s">
        <v>448</v>
      </c>
      <c r="B244" s="2" t="s">
        <v>350</v>
      </c>
      <c r="C244" s="2" t="s">
        <v>300</v>
      </c>
      <c r="D244" s="2" t="s">
        <v>431</v>
      </c>
      <c r="E244" s="6">
        <v>2700</v>
      </c>
      <c r="F244" s="18">
        <v>0</v>
      </c>
      <c r="G244" s="18">
        <v>0</v>
      </c>
      <c r="H244" s="18">
        <v>146410.59</v>
      </c>
      <c r="I244" s="18">
        <v>0</v>
      </c>
      <c r="J244" s="18">
        <v>0</v>
      </c>
      <c r="K244" s="18">
        <v>0</v>
      </c>
      <c r="L244" s="19">
        <f t="shared" si="4"/>
        <v>146410.59</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18731.96</v>
      </c>
      <c r="G247" s="41">
        <f t="shared" si="5"/>
        <v>5977.81</v>
      </c>
      <c r="H247" s="41">
        <f t="shared" si="5"/>
        <v>1487696.9800000002</v>
      </c>
      <c r="I247" s="41">
        <f t="shared" si="5"/>
        <v>0</v>
      </c>
      <c r="J247" s="41">
        <f t="shared" si="5"/>
        <v>0</v>
      </c>
      <c r="K247" s="41">
        <f t="shared" si="5"/>
        <v>0</v>
      </c>
      <c r="L247" s="41">
        <f t="shared" si="5"/>
        <v>1512406.7500000002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1628206.62</v>
      </c>
      <c r="G257" s="41">
        <f t="shared" si="8"/>
        <v>703103.15000000014</v>
      </c>
      <c r="H257" s="41">
        <f t="shared" si="8"/>
        <v>2916564.9700000007</v>
      </c>
      <c r="I257" s="41">
        <f t="shared" si="8"/>
        <v>89927.679999999993</v>
      </c>
      <c r="J257" s="41">
        <f t="shared" si="8"/>
        <v>97618.49</v>
      </c>
      <c r="K257" s="41">
        <f t="shared" si="8"/>
        <v>5521.59</v>
      </c>
      <c r="L257" s="41">
        <f t="shared" si="8"/>
        <v>5440942.5000000009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19117.04</v>
      </c>
      <c r="L263" s="19">
        <f>SUM(F263:K263)</f>
        <v>19117.04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75001</v>
      </c>
      <c r="L266" s="19">
        <f t="shared" si="9"/>
        <v>75001</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94118.040000000008</v>
      </c>
      <c r="L270" s="41">
        <f t="shared" si="9"/>
        <v>94118.040000000008</v>
      </c>
      <c r="N270" s="264"/>
    </row>
    <row r="271" spans="1:14" s="3" customFormat="1" ht="12.2" customHeight="1" thickTop="1" x14ac:dyDescent="0.2">
      <c r="A271" s="43" t="s">
        <v>464</v>
      </c>
      <c r="B271" s="40">
        <v>10</v>
      </c>
      <c r="C271" s="40">
        <v>18</v>
      </c>
      <c r="D271" s="39" t="s">
        <v>431</v>
      </c>
      <c r="E271" s="40"/>
      <c r="F271" s="42">
        <f t="shared" ref="F271:L271" si="11">F257+F270</f>
        <v>1628206.62</v>
      </c>
      <c r="G271" s="42">
        <f t="shared" si="11"/>
        <v>703103.15000000014</v>
      </c>
      <c r="H271" s="42">
        <f t="shared" si="11"/>
        <v>2916564.9700000007</v>
      </c>
      <c r="I271" s="42">
        <f t="shared" si="11"/>
        <v>89927.679999999993</v>
      </c>
      <c r="J271" s="42">
        <f t="shared" si="11"/>
        <v>97618.49</v>
      </c>
      <c r="K271" s="42">
        <f t="shared" si="11"/>
        <v>99639.63</v>
      </c>
      <c r="L271" s="42">
        <f t="shared" si="11"/>
        <v>5535060.540000001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0</v>
      </c>
      <c r="G276" s="18">
        <v>0</v>
      </c>
      <c r="H276" s="18">
        <v>0</v>
      </c>
      <c r="I276" s="18">
        <v>0</v>
      </c>
      <c r="J276" s="18">
        <v>0</v>
      </c>
      <c r="K276" s="18">
        <v>0</v>
      </c>
      <c r="L276" s="19">
        <f>SUM(F276:K276)</f>
        <v>0</v>
      </c>
      <c r="M276" s="8"/>
      <c r="N276" s="266"/>
    </row>
    <row r="277" spans="1:14" s="3" customFormat="1" ht="12.2" customHeight="1" x14ac:dyDescent="0.15">
      <c r="A277" s="1" t="s">
        <v>439</v>
      </c>
      <c r="B277" s="2" t="s">
        <v>357</v>
      </c>
      <c r="C277" s="2" t="s">
        <v>291</v>
      </c>
      <c r="D277" s="2" t="s">
        <v>431</v>
      </c>
      <c r="E277" s="6">
        <v>1200</v>
      </c>
      <c r="F277" s="18">
        <v>5055.7700000000004</v>
      </c>
      <c r="G277" s="18">
        <f>386.77+575.35+25.28</f>
        <v>987.4</v>
      </c>
      <c r="H277" s="18">
        <v>0</v>
      </c>
      <c r="I277" s="18">
        <v>0</v>
      </c>
      <c r="J277" s="18">
        <v>0</v>
      </c>
      <c r="K277" s="18">
        <v>0</v>
      </c>
      <c r="L277" s="19">
        <f>SUM(F277:K277)</f>
        <v>6043.17</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22580.09</v>
      </c>
      <c r="G281" s="18">
        <f>1846.05+575.35+120.66</f>
        <v>2542.06</v>
      </c>
      <c r="H281" s="18">
        <f>2520+1400</f>
        <v>3920</v>
      </c>
      <c r="I281" s="18">
        <v>0</v>
      </c>
      <c r="J281" s="18">
        <v>0</v>
      </c>
      <c r="K281" s="18">
        <v>0</v>
      </c>
      <c r="L281" s="19">
        <f t="shared" ref="L281:L287" si="12">SUM(F281:K281)</f>
        <v>29042.15</v>
      </c>
      <c r="M281" s="8"/>
      <c r="N281" s="266"/>
    </row>
    <row r="282" spans="1:14" s="3" customFormat="1" ht="12.2" customHeight="1" x14ac:dyDescent="0.15">
      <c r="A282" s="1" t="s">
        <v>443</v>
      </c>
      <c r="B282" s="2" t="s">
        <v>357</v>
      </c>
      <c r="C282" s="2" t="s">
        <v>295</v>
      </c>
      <c r="D282" s="2" t="s">
        <v>431</v>
      </c>
      <c r="E282" s="6">
        <v>2200</v>
      </c>
      <c r="F282" s="18">
        <v>0</v>
      </c>
      <c r="G282" s="18">
        <v>0</v>
      </c>
      <c r="H282" s="18">
        <v>8723.8799999999992</v>
      </c>
      <c r="I282" s="18">
        <v>0</v>
      </c>
      <c r="J282" s="18">
        <v>0</v>
      </c>
      <c r="K282" s="18">
        <v>0</v>
      </c>
      <c r="L282" s="19">
        <f t="shared" si="12"/>
        <v>8723.8799999999992</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1070</v>
      </c>
      <c r="G285" s="18">
        <v>82.86</v>
      </c>
      <c r="H285" s="18">
        <v>0</v>
      </c>
      <c r="I285" s="18">
        <v>0</v>
      </c>
      <c r="J285" s="18">
        <v>0</v>
      </c>
      <c r="K285" s="18">
        <f>197.5+565.32</f>
        <v>762.82</v>
      </c>
      <c r="L285" s="19">
        <f t="shared" si="12"/>
        <v>1915.6799999999998</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28705.86</v>
      </c>
      <c r="G290" s="42">
        <f t="shared" si="13"/>
        <v>3612.32</v>
      </c>
      <c r="H290" s="42">
        <f t="shared" si="13"/>
        <v>12643.88</v>
      </c>
      <c r="I290" s="42">
        <f t="shared" si="13"/>
        <v>0</v>
      </c>
      <c r="J290" s="42">
        <f t="shared" si="13"/>
        <v>0</v>
      </c>
      <c r="K290" s="42">
        <f t="shared" si="13"/>
        <v>762.82</v>
      </c>
      <c r="L290" s="41">
        <f t="shared" si="13"/>
        <v>45724.88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6"/>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0</v>
      </c>
      <c r="G301" s="18">
        <v>0</v>
      </c>
      <c r="H301" s="18">
        <v>0</v>
      </c>
      <c r="I301" s="18">
        <v>0</v>
      </c>
      <c r="J301" s="18">
        <v>0</v>
      </c>
      <c r="K301" s="18">
        <v>0</v>
      </c>
      <c r="L301" s="19">
        <f t="shared" si="14"/>
        <v>0</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0</v>
      </c>
      <c r="J314" s="18">
        <v>0</v>
      </c>
      <c r="K314" s="18">
        <v>0</v>
      </c>
      <c r="L314" s="19">
        <f>SUM(F314:K314)</f>
        <v>0</v>
      </c>
      <c r="M314" s="8"/>
      <c r="N314" s="266"/>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0</v>
      </c>
      <c r="L315" s="19">
        <f>SUM(F315:K315)</f>
        <v>0</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0</v>
      </c>
      <c r="G320" s="18">
        <v>0</v>
      </c>
      <c r="H320" s="18">
        <v>0</v>
      </c>
      <c r="I320" s="18">
        <v>0</v>
      </c>
      <c r="J320" s="18">
        <v>0</v>
      </c>
      <c r="K320" s="18">
        <v>0</v>
      </c>
      <c r="L320" s="19">
        <f t="shared" si="16"/>
        <v>0</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6"/>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28705.86</v>
      </c>
      <c r="G338" s="41">
        <f t="shared" si="20"/>
        <v>3612.32</v>
      </c>
      <c r="H338" s="41">
        <f t="shared" si="20"/>
        <v>12643.88</v>
      </c>
      <c r="I338" s="41">
        <f t="shared" si="20"/>
        <v>0</v>
      </c>
      <c r="J338" s="41">
        <f t="shared" si="20"/>
        <v>0</v>
      </c>
      <c r="K338" s="41">
        <f t="shared" si="20"/>
        <v>762.82</v>
      </c>
      <c r="L338" s="41">
        <f t="shared" si="20"/>
        <v>45724.88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28705.86</v>
      </c>
      <c r="G352" s="41">
        <f>G338</f>
        <v>3612.32</v>
      </c>
      <c r="H352" s="41">
        <f>H338</f>
        <v>12643.88</v>
      </c>
      <c r="I352" s="41">
        <f>I338</f>
        <v>0</v>
      </c>
      <c r="J352" s="41">
        <f>J338</f>
        <v>0</v>
      </c>
      <c r="K352" s="47">
        <f>K338+K351</f>
        <v>762.82</v>
      </c>
      <c r="L352" s="41">
        <f>L338+L351</f>
        <v>45724.88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0</v>
      </c>
      <c r="G358" s="18">
        <v>0</v>
      </c>
      <c r="H358" s="18">
        <v>48041</v>
      </c>
      <c r="I358" s="18">
        <v>4897.4799999999996</v>
      </c>
      <c r="J358" s="18">
        <v>0</v>
      </c>
      <c r="K358" s="18">
        <v>0</v>
      </c>
      <c r="L358" s="13">
        <f>SUM(F358:K358)</f>
        <v>52938.479999999996</v>
      </c>
      <c r="N358" s="264"/>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18">
        <v>0</v>
      </c>
      <c r="J359" s="18">
        <v>0</v>
      </c>
      <c r="K359" s="18">
        <v>0</v>
      </c>
      <c r="L359" s="19">
        <f>SUM(F359:K359)</f>
        <v>0</v>
      </c>
      <c r="M359" s="8"/>
      <c r="N359" s="266"/>
    </row>
    <row r="360" spans="1:22" s="3" customFormat="1" ht="12.2" customHeight="1" x14ac:dyDescent="0.15">
      <c r="A360" s="3" t="s">
        <v>543</v>
      </c>
      <c r="B360" s="2" t="s">
        <v>366</v>
      </c>
      <c r="C360" s="6">
        <v>3</v>
      </c>
      <c r="D360" s="2" t="s">
        <v>431</v>
      </c>
      <c r="E360" s="6"/>
      <c r="F360" s="18">
        <v>0</v>
      </c>
      <c r="G360" s="18">
        <v>0</v>
      </c>
      <c r="H360" s="18">
        <v>0</v>
      </c>
      <c r="I360" s="18">
        <v>0</v>
      </c>
      <c r="J360" s="18">
        <v>0</v>
      </c>
      <c r="K360" s="18">
        <v>0</v>
      </c>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48041</v>
      </c>
      <c r="I362" s="47">
        <f t="shared" si="22"/>
        <v>4897.4799999999996</v>
      </c>
      <c r="J362" s="47">
        <f t="shared" si="22"/>
        <v>0</v>
      </c>
      <c r="K362" s="47">
        <f t="shared" si="22"/>
        <v>0</v>
      </c>
      <c r="L362" s="47">
        <f t="shared" si="22"/>
        <v>52938.479999999996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0</v>
      </c>
      <c r="G367" s="18">
        <v>0</v>
      </c>
      <c r="H367" s="18">
        <v>0</v>
      </c>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4897.4799999999996</v>
      </c>
      <c r="G368" s="63">
        <v>0</v>
      </c>
      <c r="H368" s="63">
        <v>0</v>
      </c>
      <c r="I368" s="56">
        <f>SUM(F368:H368)</f>
        <v>4897.4799999999996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4897.4799999999996</v>
      </c>
      <c r="G369" s="47">
        <f>SUM(G367:G368)</f>
        <v>0</v>
      </c>
      <c r="H369" s="47">
        <f>SUM(H367:H368)</f>
        <v>0</v>
      </c>
      <c r="I369" s="47">
        <f>SUM(I367:I368)</f>
        <v>4897.4799999999996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6"/>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6"/>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6"/>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v>0</v>
      </c>
      <c r="G392" s="18">
        <v>75001</v>
      </c>
      <c r="H392" s="18">
        <v>3054.68</v>
      </c>
      <c r="I392" s="18">
        <v>0</v>
      </c>
      <c r="J392" s="24" t="s">
        <v>288</v>
      </c>
      <c r="K392" s="24" t="s">
        <v>288</v>
      </c>
      <c r="L392" s="56">
        <f t="shared" si="25"/>
        <v>78055.679999999993</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75001</v>
      </c>
      <c r="H393" s="139">
        <f>SUM(H387:H392)</f>
        <v>3054.68</v>
      </c>
      <c r="I393" s="65">
        <f>SUM(I387:I392)</f>
        <v>0</v>
      </c>
      <c r="J393" s="45" t="s">
        <v>288</v>
      </c>
      <c r="K393" s="45" t="s">
        <v>288</v>
      </c>
      <c r="L393" s="47">
        <f>SUM(L387:L392)</f>
        <v>78055.679999999993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v>0</v>
      </c>
      <c r="G396" s="18">
        <v>0</v>
      </c>
      <c r="H396" s="18">
        <v>0</v>
      </c>
      <c r="I396" s="18">
        <v>0</v>
      </c>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v>0</v>
      </c>
      <c r="G399" s="18">
        <v>0</v>
      </c>
      <c r="H399" s="18">
        <v>0</v>
      </c>
      <c r="I399" s="18">
        <v>0</v>
      </c>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v>0</v>
      </c>
      <c r="G400" s="18">
        <v>0</v>
      </c>
      <c r="H400" s="18">
        <v>0</v>
      </c>
      <c r="I400" s="18">
        <v>0</v>
      </c>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v>0</v>
      </c>
      <c r="G403" s="18">
        <v>0</v>
      </c>
      <c r="H403" s="18">
        <v>0</v>
      </c>
      <c r="I403" s="18">
        <v>0</v>
      </c>
      <c r="J403" s="24" t="s">
        <v>288</v>
      </c>
      <c r="K403" s="24" t="s">
        <v>288</v>
      </c>
      <c r="L403" s="56">
        <f>SUM(F403:K403)</f>
        <v>0</v>
      </c>
      <c r="M403" s="8"/>
      <c r="N403" s="266"/>
    </row>
    <row r="404" spans="1:21" s="3" customFormat="1" ht="12.2" customHeight="1" x14ac:dyDescent="0.15">
      <c r="A404" s="110"/>
      <c r="B404" s="2" t="s">
        <v>381</v>
      </c>
      <c r="C404" s="6">
        <v>16</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17</v>
      </c>
      <c r="D405" s="2" t="s">
        <v>432</v>
      </c>
      <c r="E405" s="6"/>
      <c r="F405" s="18">
        <v>0</v>
      </c>
      <c r="G405" s="18">
        <v>0</v>
      </c>
      <c r="H405" s="18">
        <v>0</v>
      </c>
      <c r="I405" s="18">
        <v>0</v>
      </c>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v>0</v>
      </c>
      <c r="G406" s="18">
        <v>0</v>
      </c>
      <c r="H406" s="18">
        <v>0</v>
      </c>
      <c r="I406" s="18">
        <v>0</v>
      </c>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75001</v>
      </c>
      <c r="H408" s="47">
        <f>H393+H401+H407</f>
        <v>3054.68</v>
      </c>
      <c r="I408" s="47">
        <f>I393+I401+I407</f>
        <v>0</v>
      </c>
      <c r="J408" s="24" t="s">
        <v>288</v>
      </c>
      <c r="K408" s="24" t="s">
        <v>288</v>
      </c>
      <c r="L408" s="47">
        <f>L393+L401+L407</f>
        <v>78055.679999999993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6"/>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6"/>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6"/>
    </row>
    <row r="422" spans="1:21" s="3" customFormat="1" ht="12.2" customHeight="1" x14ac:dyDescent="0.15">
      <c r="A422" s="79" t="s">
        <v>557</v>
      </c>
      <c r="B422" s="6">
        <v>17</v>
      </c>
      <c r="C422" s="6">
        <v>9</v>
      </c>
      <c r="D422" s="2" t="s">
        <v>432</v>
      </c>
      <c r="E422" s="6"/>
      <c r="F422" s="18">
        <v>0</v>
      </c>
      <c r="G422" s="18">
        <v>0</v>
      </c>
      <c r="H422" s="18">
        <v>0</v>
      </c>
      <c r="I422" s="18">
        <v>0</v>
      </c>
      <c r="J422" s="18">
        <v>0</v>
      </c>
      <c r="K422" s="18">
        <v>0</v>
      </c>
      <c r="L422" s="56">
        <f t="shared" si="29"/>
        <v>0</v>
      </c>
      <c r="M422" s="8"/>
      <c r="N422" s="266"/>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6"/>
    </row>
    <row r="426" spans="1:21" s="3" customFormat="1" ht="12.2" customHeight="1" thickBot="1" x14ac:dyDescent="0.2">
      <c r="A426" s="79" t="s">
        <v>510</v>
      </c>
      <c r="B426" s="6">
        <v>17</v>
      </c>
      <c r="C426" s="6">
        <v>13</v>
      </c>
      <c r="D426" s="2" t="s">
        <v>432</v>
      </c>
      <c r="E426" s="6"/>
      <c r="F426" s="18">
        <v>0</v>
      </c>
      <c r="G426" s="18">
        <v>0</v>
      </c>
      <c r="H426" s="18">
        <v>0</v>
      </c>
      <c r="I426" s="18">
        <v>0</v>
      </c>
      <c r="J426" s="18">
        <v>0</v>
      </c>
      <c r="K426" s="18">
        <v>0</v>
      </c>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v>0</v>
      </c>
      <c r="G429" s="18">
        <v>0</v>
      </c>
      <c r="H429" s="18">
        <v>0</v>
      </c>
      <c r="I429" s="18">
        <v>0</v>
      </c>
      <c r="J429" s="18">
        <v>0</v>
      </c>
      <c r="K429" s="18">
        <v>0</v>
      </c>
      <c r="L429" s="56">
        <f>SUM(F429:K429)</f>
        <v>0</v>
      </c>
      <c r="M429" s="68"/>
      <c r="N429" s="227"/>
    </row>
    <row r="430" spans="1:21" s="58" customFormat="1" ht="12.2" customHeight="1" x14ac:dyDescent="0.15">
      <c r="A430" s="110"/>
      <c r="B430" s="6">
        <v>17</v>
      </c>
      <c r="C430" s="6">
        <v>16</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17</v>
      </c>
      <c r="D431" s="2" t="s">
        <v>432</v>
      </c>
      <c r="E431" s="6"/>
      <c r="F431" s="18">
        <v>0</v>
      </c>
      <c r="G431" s="18">
        <v>0</v>
      </c>
      <c r="H431" s="18">
        <v>0</v>
      </c>
      <c r="I431" s="18">
        <v>0</v>
      </c>
      <c r="J431" s="18">
        <v>0</v>
      </c>
      <c r="K431" s="18">
        <v>0</v>
      </c>
      <c r="L431" s="56">
        <f>SUM(F431:K431)</f>
        <v>0</v>
      </c>
      <c r="N431" s="264"/>
    </row>
    <row r="432" spans="1:21" s="3" customFormat="1" ht="12.2" customHeight="1" thickBot="1" x14ac:dyDescent="0.2">
      <c r="A432" s="110"/>
      <c r="B432" s="6">
        <v>17</v>
      </c>
      <c r="C432" s="6">
        <v>18</v>
      </c>
      <c r="D432" s="2" t="s">
        <v>432</v>
      </c>
      <c r="E432" s="6"/>
      <c r="F432" s="18">
        <v>0</v>
      </c>
      <c r="G432" s="18">
        <v>0</v>
      </c>
      <c r="H432" s="18">
        <v>0</v>
      </c>
      <c r="I432" s="18">
        <v>0</v>
      </c>
      <c r="J432" s="18">
        <v>0</v>
      </c>
      <c r="K432" s="18">
        <v>0</v>
      </c>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336706.89</v>
      </c>
      <c r="G440" s="18">
        <v>0</v>
      </c>
      <c r="H440" s="18">
        <v>0</v>
      </c>
      <c r="I440" s="56">
        <f t="shared" si="33"/>
        <v>336706.89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0</v>
      </c>
      <c r="G442" s="18">
        <v>0</v>
      </c>
      <c r="H442" s="18">
        <v>0</v>
      </c>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336706.89</v>
      </c>
      <c r="G446" s="13">
        <f>SUM(G439:G445)</f>
        <v>0</v>
      </c>
      <c r="H446" s="13">
        <f>SUM(H439:H445)</f>
        <v>0</v>
      </c>
      <c r="I446" s="13">
        <f>SUM(I439:I445)</f>
        <v>336706.89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0</v>
      </c>
      <c r="G450" s="18">
        <v>0</v>
      </c>
      <c r="H450" s="18">
        <v>0</v>
      </c>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336706.89</v>
      </c>
      <c r="G459" s="18">
        <v>0</v>
      </c>
      <c r="H459" s="18">
        <v>0</v>
      </c>
      <c r="I459" s="56">
        <f t="shared" si="34"/>
        <v>336706.89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336706.89</v>
      </c>
      <c r="G460" s="83">
        <f>SUM(G454:G459)</f>
        <v>0</v>
      </c>
      <c r="H460" s="83">
        <f>SUM(H454:H459)</f>
        <v>0</v>
      </c>
      <c r="I460" s="83">
        <f>SUM(I454:I459)</f>
        <v>336706.89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336706.89</v>
      </c>
      <c r="G461" s="42">
        <f>G452+G460</f>
        <v>0</v>
      </c>
      <c r="H461" s="42">
        <f>H452+H460</f>
        <v>0</v>
      </c>
      <c r="I461" s="42">
        <f>I452+I460</f>
        <v>336706.89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377138.88</v>
      </c>
      <c r="G465" s="18">
        <v>0</v>
      </c>
      <c r="H465" s="18">
        <v>0</v>
      </c>
      <c r="I465" s="18">
        <v>0</v>
      </c>
      <c r="J465" s="18">
        <v>258651.21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5725227.0300000003</v>
      </c>
      <c r="G468" s="18">
        <v>52938.48</v>
      </c>
      <c r="H468" s="18">
        <v>45724.88</v>
      </c>
      <c r="I468" s="18">
        <v>0</v>
      </c>
      <c r="J468" s="18">
        <f>75001+3054.68</f>
        <v>78055.679999999993</v>
      </c>
      <c r="K468" s="24" t="s">
        <v>288</v>
      </c>
      <c r="L468" s="24" t="s">
        <v>288</v>
      </c>
      <c r="N468" s="265"/>
    </row>
    <row r="469" spans="1:14" s="52" customFormat="1" ht="12.2" customHeight="1" x14ac:dyDescent="0.2">
      <c r="A469" s="93" t="s">
        <v>611</v>
      </c>
      <c r="B469" s="75">
        <v>19</v>
      </c>
      <c r="C469" s="80">
        <v>3</v>
      </c>
      <c r="D469" s="2" t="s">
        <v>432</v>
      </c>
      <c r="E469" s="80"/>
      <c r="F469" s="18">
        <v>0</v>
      </c>
      <c r="G469" s="18">
        <v>0</v>
      </c>
      <c r="H469" s="18"/>
      <c r="I469" s="18">
        <v>0</v>
      </c>
      <c r="J469" s="18">
        <v>0</v>
      </c>
      <c r="K469" s="24" t="s">
        <v>288</v>
      </c>
      <c r="L469" s="24" t="s">
        <v>288</v>
      </c>
      <c r="N469" s="265"/>
    </row>
    <row r="470" spans="1:14" s="52" customFormat="1" ht="12.2" customHeight="1" x14ac:dyDescent="0.2">
      <c r="A470" s="92" t="s">
        <v>425</v>
      </c>
      <c r="B470" s="75">
        <v>19</v>
      </c>
      <c r="C470" s="80">
        <v>4</v>
      </c>
      <c r="D470" s="2" t="s">
        <v>432</v>
      </c>
      <c r="E470" s="80"/>
      <c r="F470" s="53">
        <f>SUM(F468:F469)</f>
        <v>5725227.0300000003</v>
      </c>
      <c r="G470" s="53">
        <f>SUM(G468:G469)</f>
        <v>52938.48</v>
      </c>
      <c r="H470" s="53">
        <f>SUM(H468:H469)</f>
        <v>45724.88</v>
      </c>
      <c r="I470" s="53">
        <f>SUM(I468:I469)</f>
        <v>0</v>
      </c>
      <c r="J470" s="53">
        <f>SUM(J468:J469)</f>
        <v>78055.679999999993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5478808.18+56252.36</f>
        <v>5535060.54</v>
      </c>
      <c r="G472" s="18">
        <v>52938.48</v>
      </c>
      <c r="H472" s="18">
        <v>45724.88</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v>0</v>
      </c>
      <c r="G473" s="18">
        <v>0</v>
      </c>
      <c r="H473" s="18"/>
      <c r="I473" s="18">
        <v>0</v>
      </c>
      <c r="J473" s="18">
        <v>0</v>
      </c>
      <c r="K473" s="24" t="s">
        <v>288</v>
      </c>
      <c r="L473" s="24" t="s">
        <v>288</v>
      </c>
      <c r="N473" s="265"/>
    </row>
    <row r="474" spans="1:14" s="52" customFormat="1" ht="12.2" customHeight="1" x14ac:dyDescent="0.2">
      <c r="A474" s="92" t="s">
        <v>426</v>
      </c>
      <c r="B474" s="75">
        <v>19</v>
      </c>
      <c r="C474" s="80">
        <v>7</v>
      </c>
      <c r="D474" s="2" t="s">
        <v>432</v>
      </c>
      <c r="E474" s="80"/>
      <c r="F474" s="53">
        <f>SUM(F472:F473)</f>
        <v>5535060.54</v>
      </c>
      <c r="G474" s="53">
        <f>SUM(G472:G473)</f>
        <v>52938.48</v>
      </c>
      <c r="H474" s="53">
        <f>SUM(H472:H473)</f>
        <v>45724.88</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567305.37000000011</v>
      </c>
      <c r="G476" s="53">
        <f>(G465+G470)- G474</f>
        <v>0</v>
      </c>
      <c r="H476" s="53">
        <f>(H465+H470)- H474</f>
        <v>0</v>
      </c>
      <c r="I476" s="53">
        <f>(I465+I470)- I474</f>
        <v>0</v>
      </c>
      <c r="J476" s="53">
        <f>(J465+J470)- J474</f>
        <v>336706.89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0</v>
      </c>
      <c r="G490" s="154">
        <v>0</v>
      </c>
      <c r="H490" s="154">
        <v>0</v>
      </c>
      <c r="I490" s="154">
        <v>0</v>
      </c>
      <c r="J490" s="154">
        <v>0</v>
      </c>
      <c r="K490" s="24" t="s">
        <v>288</v>
      </c>
      <c r="L490" s="24" t="s">
        <v>288</v>
      </c>
      <c r="N490" s="265"/>
    </row>
    <row r="491" spans="1:14" s="52" customFormat="1" ht="12.2" customHeight="1" x14ac:dyDescent="0.2">
      <c r="A491" s="22" t="s">
        <v>615</v>
      </c>
      <c r="B491" s="75">
        <v>20</v>
      </c>
      <c r="C491" s="115">
        <v>2</v>
      </c>
      <c r="D491" s="2" t="s">
        <v>432</v>
      </c>
      <c r="E491" s="115"/>
      <c r="F491" s="155" t="s">
        <v>1610</v>
      </c>
      <c r="G491" s="155" t="s">
        <v>1610</v>
      </c>
      <c r="H491" s="154">
        <v>0</v>
      </c>
      <c r="I491" s="154">
        <v>0</v>
      </c>
      <c r="J491" s="154">
        <v>0</v>
      </c>
      <c r="K491" s="24" t="s">
        <v>288</v>
      </c>
      <c r="L491" s="24" t="s">
        <v>288</v>
      </c>
      <c r="N491" s="265"/>
    </row>
    <row r="492" spans="1:14" s="52" customFormat="1" ht="12.2" customHeight="1" x14ac:dyDescent="0.2">
      <c r="A492" s="22" t="s">
        <v>616</v>
      </c>
      <c r="B492" s="75">
        <v>20</v>
      </c>
      <c r="C492" s="115">
        <v>3</v>
      </c>
      <c r="D492" s="2" t="s">
        <v>432</v>
      </c>
      <c r="E492" s="115"/>
      <c r="F492" s="155" t="s">
        <v>1610</v>
      </c>
      <c r="G492" s="155" t="s">
        <v>1610</v>
      </c>
      <c r="H492" s="154">
        <v>0</v>
      </c>
      <c r="I492" s="154">
        <v>0</v>
      </c>
      <c r="J492" s="154">
        <v>0</v>
      </c>
      <c r="K492" s="24" t="s">
        <v>288</v>
      </c>
      <c r="L492" s="24" t="s">
        <v>288</v>
      </c>
      <c r="N492" s="265"/>
    </row>
    <row r="493" spans="1:14" s="52" customFormat="1" ht="12.2" customHeight="1" x14ac:dyDescent="0.2">
      <c r="A493" s="22" t="s">
        <v>617</v>
      </c>
      <c r="B493" s="75">
        <v>20</v>
      </c>
      <c r="C493" s="115">
        <v>4</v>
      </c>
      <c r="D493" s="2" t="s">
        <v>432</v>
      </c>
      <c r="E493" s="115"/>
      <c r="F493" s="18">
        <v>0</v>
      </c>
      <c r="G493" s="18">
        <v>0</v>
      </c>
      <c r="H493" s="18">
        <v>0</v>
      </c>
      <c r="I493" s="18">
        <v>0</v>
      </c>
      <c r="J493" s="18">
        <v>0</v>
      </c>
      <c r="K493" s="24" t="s">
        <v>288</v>
      </c>
      <c r="L493" s="24" t="s">
        <v>288</v>
      </c>
      <c r="N493" s="265"/>
    </row>
    <row r="494" spans="1:14" s="52" customFormat="1" ht="12.2" customHeight="1" x14ac:dyDescent="0.2">
      <c r="A494" s="22" t="s">
        <v>618</v>
      </c>
      <c r="B494" s="75">
        <v>20</v>
      </c>
      <c r="C494" s="115">
        <v>5</v>
      </c>
      <c r="D494" s="2" t="s">
        <v>432</v>
      </c>
      <c r="E494" s="115"/>
      <c r="F494" s="18">
        <v>0</v>
      </c>
      <c r="G494" s="18">
        <v>0</v>
      </c>
      <c r="H494" s="18">
        <v>0</v>
      </c>
      <c r="I494" s="18">
        <v>0</v>
      </c>
      <c r="J494" s="18">
        <v>0</v>
      </c>
      <c r="K494" s="24" t="s">
        <v>288</v>
      </c>
      <c r="L494" s="24" t="s">
        <v>288</v>
      </c>
      <c r="N494" s="265"/>
    </row>
    <row r="495" spans="1:14" s="52" customFormat="1" ht="12.2" customHeight="1" x14ac:dyDescent="0.2">
      <c r="A495" s="22" t="s">
        <v>619</v>
      </c>
      <c r="B495" s="75">
        <v>20</v>
      </c>
      <c r="C495" s="115">
        <v>6</v>
      </c>
      <c r="D495" s="2" t="s">
        <v>432</v>
      </c>
      <c r="E495" s="115"/>
      <c r="F495" s="18">
        <v>0</v>
      </c>
      <c r="G495" s="18">
        <v>0</v>
      </c>
      <c r="H495" s="18">
        <v>0</v>
      </c>
      <c r="I495" s="18">
        <v>0</v>
      </c>
      <c r="J495" s="18">
        <v>0</v>
      </c>
      <c r="K495" s="53">
        <f>SUM(F495:J495)</f>
        <v>0</v>
      </c>
      <c r="L495" s="24" t="s">
        <v>288</v>
      </c>
      <c r="N495" s="265"/>
    </row>
    <row r="496" spans="1:14" s="52" customFormat="1" ht="12.2" customHeight="1" x14ac:dyDescent="0.2">
      <c r="A496" s="22" t="s">
        <v>620</v>
      </c>
      <c r="B496" s="75">
        <v>20</v>
      </c>
      <c r="C496" s="115">
        <v>7</v>
      </c>
      <c r="D496" s="2" t="s">
        <v>432</v>
      </c>
      <c r="E496" s="115"/>
      <c r="F496" s="18">
        <v>0</v>
      </c>
      <c r="G496" s="18">
        <v>0</v>
      </c>
      <c r="H496" s="18">
        <v>0</v>
      </c>
      <c r="I496" s="18">
        <v>0</v>
      </c>
      <c r="J496" s="18">
        <v>0</v>
      </c>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0</v>
      </c>
      <c r="G497" s="18">
        <v>0</v>
      </c>
      <c r="H497" s="18">
        <v>0</v>
      </c>
      <c r="I497" s="18">
        <v>0</v>
      </c>
      <c r="J497" s="18">
        <v>0</v>
      </c>
      <c r="K497" s="53">
        <f t="shared" si="35"/>
        <v>0</v>
      </c>
      <c r="L497" s="24" t="s">
        <v>288</v>
      </c>
      <c r="N497" s="265"/>
    </row>
    <row r="498" spans="1:14" s="52" customFormat="1" ht="12.2" customHeight="1" x14ac:dyDescent="0.2">
      <c r="A498" s="200" t="s">
        <v>622</v>
      </c>
      <c r="B498" s="201">
        <v>20</v>
      </c>
      <c r="C498" s="202">
        <v>9</v>
      </c>
      <c r="D498" s="203" t="s">
        <v>432</v>
      </c>
      <c r="E498" s="202"/>
      <c r="F498" s="204">
        <v>0</v>
      </c>
      <c r="G498" s="204">
        <v>0</v>
      </c>
      <c r="H498" s="204">
        <v>0</v>
      </c>
      <c r="I498" s="204">
        <v>0</v>
      </c>
      <c r="J498" s="204">
        <v>0</v>
      </c>
      <c r="K498" s="205">
        <f t="shared" si="35"/>
        <v>0</v>
      </c>
      <c r="L498" s="206" t="s">
        <v>288</v>
      </c>
      <c r="N498" s="265"/>
    </row>
    <row r="499" spans="1:14" s="52" customFormat="1" ht="12.2" customHeight="1" thickBot="1" x14ac:dyDescent="0.25">
      <c r="A499" s="22" t="s">
        <v>623</v>
      </c>
      <c r="B499" s="75">
        <v>20</v>
      </c>
      <c r="C499" s="115">
        <v>10</v>
      </c>
      <c r="D499" s="2" t="s">
        <v>432</v>
      </c>
      <c r="E499" s="115"/>
      <c r="F499" s="18">
        <v>0</v>
      </c>
      <c r="G499" s="18">
        <v>0</v>
      </c>
      <c r="H499" s="18">
        <v>0</v>
      </c>
      <c r="I499" s="18">
        <v>0</v>
      </c>
      <c r="J499" s="18">
        <v>0</v>
      </c>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v>0</v>
      </c>
      <c r="G501" s="204">
        <v>0</v>
      </c>
      <c r="H501" s="204">
        <v>0</v>
      </c>
      <c r="I501" s="204">
        <v>0</v>
      </c>
      <c r="J501" s="204">
        <v>0</v>
      </c>
      <c r="K501" s="205">
        <f t="shared" si="35"/>
        <v>0</v>
      </c>
      <c r="L501" s="206" t="s">
        <v>288</v>
      </c>
      <c r="N501" s="265"/>
    </row>
    <row r="502" spans="1:14" s="52" customFormat="1" ht="12.2" customHeight="1" thickBot="1" x14ac:dyDescent="0.25">
      <c r="A502" s="22" t="s">
        <v>625</v>
      </c>
      <c r="B502" s="75">
        <v>20</v>
      </c>
      <c r="C502" s="115">
        <v>13</v>
      </c>
      <c r="D502" s="2" t="s">
        <v>432</v>
      </c>
      <c r="E502" s="115"/>
      <c r="F502" s="18">
        <v>0</v>
      </c>
      <c r="G502" s="18">
        <v>0</v>
      </c>
      <c r="H502" s="18">
        <v>0</v>
      </c>
      <c r="I502" s="18">
        <v>0</v>
      </c>
      <c r="J502" s="18">
        <v>0</v>
      </c>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0</v>
      </c>
      <c r="G511" s="24" t="s">
        <v>288</v>
      </c>
      <c r="H511" s="18">
        <v>0</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v>0</v>
      </c>
      <c r="G512" s="24" t="s">
        <v>288</v>
      </c>
      <c r="H512" s="18">
        <v>0</v>
      </c>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0</v>
      </c>
      <c r="G513" s="24" t="s">
        <v>288</v>
      </c>
      <c r="H513" s="18">
        <v>0</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0</v>
      </c>
      <c r="G514" s="24" t="s">
        <v>288</v>
      </c>
      <c r="H514" s="18">
        <v>0</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v>0</v>
      </c>
      <c r="G515" s="24" t="s">
        <v>288</v>
      </c>
      <c r="H515" s="18">
        <v>0</v>
      </c>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v>0</v>
      </c>
      <c r="H516" s="24" t="s">
        <v>288</v>
      </c>
      <c r="I516" s="18">
        <v>0</v>
      </c>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294579.19</v>
      </c>
      <c r="G521" s="18">
        <v>72800.52</v>
      </c>
      <c r="H521" s="18">
        <v>34228.5</v>
      </c>
      <c r="I521" s="18">
        <v>2054.23</v>
      </c>
      <c r="J521" s="18">
        <v>361.95</v>
      </c>
      <c r="K521" s="18">
        <v>0</v>
      </c>
      <c r="L521" s="88">
        <f>SUM(F521:K521)</f>
        <v>404024.39</v>
      </c>
      <c r="N521" s="265"/>
    </row>
    <row r="522" spans="1:14" s="52" customFormat="1" ht="12.2" customHeight="1" x14ac:dyDescent="0.2">
      <c r="A522" s="22" t="s">
        <v>634</v>
      </c>
      <c r="B522" s="105">
        <v>21</v>
      </c>
      <c r="C522" s="115">
        <v>2</v>
      </c>
      <c r="D522" s="2" t="s">
        <v>432</v>
      </c>
      <c r="E522" s="115"/>
      <c r="F522" s="18">
        <v>15483</v>
      </c>
      <c r="G522" s="18">
        <v>3873.85</v>
      </c>
      <c r="H522" s="18">
        <v>192886.08</v>
      </c>
      <c r="I522" s="18">
        <v>0</v>
      </c>
      <c r="J522" s="18">
        <v>0</v>
      </c>
      <c r="K522" s="18">
        <v>0</v>
      </c>
      <c r="L522" s="88">
        <f>SUM(F522:K522)</f>
        <v>212242.93</v>
      </c>
      <c r="N522" s="265"/>
    </row>
    <row r="523" spans="1:14" s="52" customFormat="1" ht="12.2" customHeight="1" thickBot="1" x14ac:dyDescent="0.25">
      <c r="A523" s="22" t="s">
        <v>635</v>
      </c>
      <c r="B523" s="105">
        <v>21</v>
      </c>
      <c r="C523" s="115">
        <v>3</v>
      </c>
      <c r="D523" s="2" t="s">
        <v>432</v>
      </c>
      <c r="E523" s="115"/>
      <c r="F523" s="18">
        <v>15483</v>
      </c>
      <c r="G523" s="18">
        <v>3873.85</v>
      </c>
      <c r="H523" s="18">
        <v>284945.52</v>
      </c>
      <c r="I523" s="18">
        <v>0</v>
      </c>
      <c r="J523" s="18">
        <v>0</v>
      </c>
      <c r="K523" s="18">
        <v>0</v>
      </c>
      <c r="L523" s="88">
        <f>SUM(F523:K523)</f>
        <v>304302.37</v>
      </c>
      <c r="N523" s="265"/>
    </row>
    <row r="524" spans="1:14" s="52" customFormat="1" ht="12.2" customHeight="1" thickTop="1" x14ac:dyDescent="0.2">
      <c r="A524" s="139" t="s">
        <v>63</v>
      </c>
      <c r="B524" s="107">
        <v>21</v>
      </c>
      <c r="C524" s="195">
        <v>4</v>
      </c>
      <c r="D524" s="196" t="s">
        <v>432</v>
      </c>
      <c r="E524" s="195"/>
      <c r="F524" s="108">
        <f>SUM(F521:F523)</f>
        <v>325545.19</v>
      </c>
      <c r="G524" s="108">
        <f t="shared" ref="G524:L524" si="36">SUM(G521:G523)</f>
        <v>80548.220000000016</v>
      </c>
      <c r="H524" s="108">
        <f t="shared" si="36"/>
        <v>512060.1</v>
      </c>
      <c r="I524" s="108">
        <f t="shared" si="36"/>
        <v>2054.23</v>
      </c>
      <c r="J524" s="108">
        <f t="shared" si="36"/>
        <v>361.95</v>
      </c>
      <c r="K524" s="108">
        <f t="shared" si="36"/>
        <v>0</v>
      </c>
      <c r="L524" s="89">
        <f t="shared" si="36"/>
        <v>920569.69000000006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68175</v>
      </c>
      <c r="G526" s="18">
        <f>24263+373+211+91+4956+11835</f>
        <v>41729</v>
      </c>
      <c r="H526" s="18">
        <f>234+35653+672</f>
        <v>36559</v>
      </c>
      <c r="I526" s="18">
        <v>21</v>
      </c>
      <c r="J526" s="18">
        <v>0</v>
      </c>
      <c r="K526" s="18">
        <v>0</v>
      </c>
      <c r="L526" s="88">
        <f>SUM(F526:K526)</f>
        <v>146484</v>
      </c>
      <c r="M526" s="8"/>
      <c r="N526" s="266"/>
    </row>
    <row r="527" spans="1:14" s="3" customFormat="1" ht="12.2" customHeight="1" x14ac:dyDescent="0.15">
      <c r="A527" s="22" t="s">
        <v>634</v>
      </c>
      <c r="B527" s="105">
        <v>21</v>
      </c>
      <c r="C527" s="115">
        <v>6</v>
      </c>
      <c r="D527" s="2" t="s">
        <v>432</v>
      </c>
      <c r="E527" s="115"/>
      <c r="F527" s="18">
        <v>0</v>
      </c>
      <c r="G527" s="18">
        <v>0</v>
      </c>
      <c r="H527" s="18">
        <v>0</v>
      </c>
      <c r="I527" s="18">
        <v>0</v>
      </c>
      <c r="J527" s="18">
        <v>0</v>
      </c>
      <c r="K527" s="18">
        <v>0</v>
      </c>
      <c r="L527" s="88">
        <f>SUM(F527:K527)</f>
        <v>0</v>
      </c>
      <c r="M527" s="8"/>
      <c r="N527" s="266"/>
    </row>
    <row r="528" spans="1:14" s="3" customFormat="1" ht="12.2" customHeight="1" thickBot="1" x14ac:dyDescent="0.2">
      <c r="A528" s="22" t="s">
        <v>635</v>
      </c>
      <c r="B528" s="118">
        <v>21</v>
      </c>
      <c r="C528" s="118">
        <v>7</v>
      </c>
      <c r="D528" s="2" t="s">
        <v>432</v>
      </c>
      <c r="E528" s="118"/>
      <c r="F528" s="18">
        <v>0</v>
      </c>
      <c r="G528" s="18">
        <v>0</v>
      </c>
      <c r="H528" s="18">
        <v>0</v>
      </c>
      <c r="I528" s="18">
        <v>0</v>
      </c>
      <c r="J528" s="18">
        <v>0</v>
      </c>
      <c r="K528" s="18">
        <v>0</v>
      </c>
      <c r="L528" s="88">
        <f>SUM(F528:K528)</f>
        <v>0</v>
      </c>
      <c r="M528" s="8"/>
      <c r="N528" s="266"/>
    </row>
    <row r="529" spans="1:14" s="3" customFormat="1" ht="12.2" customHeight="1" thickTop="1" x14ac:dyDescent="0.15">
      <c r="A529" s="139" t="s">
        <v>65</v>
      </c>
      <c r="B529" s="107">
        <v>21</v>
      </c>
      <c r="C529" s="107">
        <v>8</v>
      </c>
      <c r="D529" s="158" t="s">
        <v>432</v>
      </c>
      <c r="E529" s="107"/>
      <c r="F529" s="89">
        <f>SUM(F526:F528)</f>
        <v>68175</v>
      </c>
      <c r="G529" s="89">
        <f t="shared" ref="G529:L529" si="37">SUM(G526:G528)</f>
        <v>41729</v>
      </c>
      <c r="H529" s="89">
        <f t="shared" si="37"/>
        <v>36559</v>
      </c>
      <c r="I529" s="89">
        <f t="shared" si="37"/>
        <v>21</v>
      </c>
      <c r="J529" s="89">
        <f t="shared" si="37"/>
        <v>0</v>
      </c>
      <c r="K529" s="89">
        <f t="shared" si="37"/>
        <v>0</v>
      </c>
      <c r="L529" s="89">
        <f t="shared" si="37"/>
        <v>146484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36753</v>
      </c>
      <c r="G531" s="18">
        <v>19502</v>
      </c>
      <c r="H531" s="18">
        <v>0</v>
      </c>
      <c r="I531" s="18">
        <v>0</v>
      </c>
      <c r="J531" s="18">
        <v>0</v>
      </c>
      <c r="K531" s="18">
        <v>0</v>
      </c>
      <c r="L531" s="88">
        <f>SUM(F531:K531)</f>
        <v>56255</v>
      </c>
      <c r="M531" s="8"/>
      <c r="N531" s="266"/>
    </row>
    <row r="532" spans="1:14" s="3" customFormat="1" ht="12.2" customHeight="1" x14ac:dyDescent="0.15">
      <c r="A532" s="22" t="s">
        <v>634</v>
      </c>
      <c r="B532" s="105">
        <v>21</v>
      </c>
      <c r="C532" s="105">
        <v>10</v>
      </c>
      <c r="D532" s="2" t="s">
        <v>432</v>
      </c>
      <c r="E532" s="105"/>
      <c r="F532" s="18">
        <v>0</v>
      </c>
      <c r="G532" s="18">
        <v>0</v>
      </c>
      <c r="H532" s="18">
        <v>0</v>
      </c>
      <c r="I532" s="18">
        <v>0</v>
      </c>
      <c r="J532" s="18">
        <v>0</v>
      </c>
      <c r="K532" s="18">
        <v>0</v>
      </c>
      <c r="L532" s="88">
        <f>SUM(F532:K532)</f>
        <v>0</v>
      </c>
      <c r="M532" s="8"/>
      <c r="N532" s="266"/>
    </row>
    <row r="533" spans="1:14" s="3" customFormat="1" ht="12.2" customHeight="1" thickBot="1" x14ac:dyDescent="0.2">
      <c r="A533" s="22" t="s">
        <v>635</v>
      </c>
      <c r="B533" s="105">
        <v>21</v>
      </c>
      <c r="C533" s="105">
        <v>11</v>
      </c>
      <c r="D533" s="2" t="s">
        <v>432</v>
      </c>
      <c r="E533" s="105"/>
      <c r="F533" s="18">
        <v>0</v>
      </c>
      <c r="G533" s="18">
        <v>0</v>
      </c>
      <c r="H533" s="18">
        <v>0</v>
      </c>
      <c r="I533" s="18">
        <v>0</v>
      </c>
      <c r="J533" s="18">
        <v>0</v>
      </c>
      <c r="K533" s="18">
        <v>0</v>
      </c>
      <c r="L533" s="88">
        <f>SUM(F533:K533)</f>
        <v>0</v>
      </c>
      <c r="M533" s="8"/>
      <c r="N533" s="266"/>
    </row>
    <row r="534" spans="1:14" s="3" customFormat="1" ht="12.2" customHeight="1" thickTop="1" x14ac:dyDescent="0.15">
      <c r="A534" s="139" t="s">
        <v>67</v>
      </c>
      <c r="B534" s="107">
        <v>21</v>
      </c>
      <c r="C534" s="107">
        <v>12</v>
      </c>
      <c r="D534" s="158" t="s">
        <v>432</v>
      </c>
      <c r="E534" s="107"/>
      <c r="F534" s="89">
        <f>SUM(F531:F533)</f>
        <v>36753</v>
      </c>
      <c r="G534" s="89">
        <f t="shared" ref="G534:L534" si="38">SUM(G531:G533)</f>
        <v>19502</v>
      </c>
      <c r="H534" s="89">
        <f t="shared" si="38"/>
        <v>0</v>
      </c>
      <c r="I534" s="89">
        <f t="shared" si="38"/>
        <v>0</v>
      </c>
      <c r="J534" s="89">
        <f t="shared" si="38"/>
        <v>0</v>
      </c>
      <c r="K534" s="89">
        <f t="shared" si="38"/>
        <v>0</v>
      </c>
      <c r="L534" s="89">
        <f t="shared" si="38"/>
        <v>56255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981</v>
      </c>
      <c r="I536" s="18">
        <v>0</v>
      </c>
      <c r="J536" s="18">
        <v>0</v>
      </c>
      <c r="K536" s="18">
        <v>0</v>
      </c>
      <c r="L536" s="88">
        <f>SUM(F536:K536)</f>
        <v>981</v>
      </c>
      <c r="M536" s="8"/>
      <c r="N536" s="266"/>
    </row>
    <row r="537" spans="1:14" s="3" customFormat="1" ht="12.2" customHeight="1" x14ac:dyDescent="0.15">
      <c r="A537" s="22" t="s">
        <v>634</v>
      </c>
      <c r="B537" s="105">
        <v>21</v>
      </c>
      <c r="C537" s="105">
        <v>14</v>
      </c>
      <c r="D537" s="2" t="s">
        <v>432</v>
      </c>
      <c r="E537" s="105"/>
      <c r="F537" s="18">
        <v>0</v>
      </c>
      <c r="G537" s="18">
        <v>0</v>
      </c>
      <c r="H537" s="18">
        <v>0</v>
      </c>
      <c r="I537" s="18">
        <v>0</v>
      </c>
      <c r="J537" s="18">
        <v>0</v>
      </c>
      <c r="K537" s="18">
        <v>0</v>
      </c>
      <c r="L537" s="88">
        <f>SUM(F537:K537)</f>
        <v>0</v>
      </c>
      <c r="M537" s="8"/>
      <c r="N537" s="266"/>
    </row>
    <row r="538" spans="1:14" s="3" customFormat="1" ht="12.2" customHeight="1" thickBot="1" x14ac:dyDescent="0.2">
      <c r="A538" s="22" t="s">
        <v>635</v>
      </c>
      <c r="B538" s="105">
        <v>21</v>
      </c>
      <c r="C538" s="105">
        <v>15</v>
      </c>
      <c r="D538" s="2" t="s">
        <v>432</v>
      </c>
      <c r="E538" s="105"/>
      <c r="F538" s="18">
        <v>0</v>
      </c>
      <c r="G538" s="18">
        <v>0</v>
      </c>
      <c r="H538" s="18">
        <v>0</v>
      </c>
      <c r="I538" s="18">
        <v>0</v>
      </c>
      <c r="J538" s="18">
        <v>0</v>
      </c>
      <c r="K538" s="18">
        <v>0</v>
      </c>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981</v>
      </c>
      <c r="I539" s="89">
        <f t="shared" si="39"/>
        <v>0</v>
      </c>
      <c r="J539" s="89">
        <f t="shared" si="39"/>
        <v>0</v>
      </c>
      <c r="K539" s="89">
        <f t="shared" si="39"/>
        <v>0</v>
      </c>
      <c r="L539" s="89">
        <f t="shared" si="39"/>
        <v>981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v>7813</v>
      </c>
      <c r="I541" s="18">
        <v>0</v>
      </c>
      <c r="J541" s="18">
        <v>0</v>
      </c>
      <c r="K541" s="18">
        <v>0</v>
      </c>
      <c r="L541" s="88">
        <f>SUM(F541:K541)</f>
        <v>7813</v>
      </c>
      <c r="M541" s="8"/>
      <c r="N541" s="266"/>
    </row>
    <row r="542" spans="1:14" s="3" customFormat="1" ht="12.2" customHeight="1" x14ac:dyDescent="0.15">
      <c r="A542" s="22" t="s">
        <v>634</v>
      </c>
      <c r="B542" s="105">
        <v>21</v>
      </c>
      <c r="C542" s="105">
        <v>18</v>
      </c>
      <c r="D542" s="2" t="s">
        <v>432</v>
      </c>
      <c r="E542" s="105"/>
      <c r="F542" s="18">
        <v>0</v>
      </c>
      <c r="G542" s="18">
        <v>0</v>
      </c>
      <c r="H542" s="18">
        <v>226</v>
      </c>
      <c r="I542" s="18">
        <v>0</v>
      </c>
      <c r="J542" s="18">
        <v>0</v>
      </c>
      <c r="K542" s="18">
        <v>0</v>
      </c>
      <c r="L542" s="88">
        <f>SUM(F542:K542)</f>
        <v>226</v>
      </c>
      <c r="M542" s="8"/>
      <c r="N542" s="266"/>
    </row>
    <row r="543" spans="1:14" s="3" customFormat="1" ht="12.2" customHeight="1" thickBot="1" x14ac:dyDescent="0.2">
      <c r="A543" s="22" t="s">
        <v>635</v>
      </c>
      <c r="B543" s="105">
        <v>21</v>
      </c>
      <c r="C543" s="105">
        <v>19</v>
      </c>
      <c r="D543" s="2" t="s">
        <v>432</v>
      </c>
      <c r="E543" s="105"/>
      <c r="F543" s="18">
        <v>0</v>
      </c>
      <c r="G543" s="18">
        <v>0</v>
      </c>
      <c r="H543" s="18">
        <v>74458</v>
      </c>
      <c r="I543" s="18">
        <v>0</v>
      </c>
      <c r="J543" s="18">
        <v>0</v>
      </c>
      <c r="K543" s="18">
        <v>0</v>
      </c>
      <c r="L543" s="88">
        <f>SUM(F543:K543)</f>
        <v>74458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82497</v>
      </c>
      <c r="I544" s="193">
        <f t="shared" si="40"/>
        <v>0</v>
      </c>
      <c r="J544" s="193">
        <f t="shared" si="40"/>
        <v>0</v>
      </c>
      <c r="K544" s="193">
        <f t="shared" si="40"/>
        <v>0</v>
      </c>
      <c r="L544" s="193">
        <f t="shared" si="40"/>
        <v>82497</v>
      </c>
      <c r="M544" s="8"/>
      <c r="N544" s="266"/>
    </row>
    <row r="545" spans="1:14" s="3" customFormat="1" ht="12.2" customHeight="1" thickTop="1" x14ac:dyDescent="0.15">
      <c r="A545" s="98" t="s">
        <v>72</v>
      </c>
      <c r="B545" s="107">
        <v>21</v>
      </c>
      <c r="C545" s="107">
        <v>21</v>
      </c>
      <c r="D545" s="158" t="s">
        <v>432</v>
      </c>
      <c r="E545" s="107"/>
      <c r="F545" s="89">
        <f>F524+F529+F534+F539+F544</f>
        <v>430473.19</v>
      </c>
      <c r="G545" s="89">
        <f t="shared" ref="G545:L545" si="41">G524+G529+G534+G539+G544</f>
        <v>141779.22000000003</v>
      </c>
      <c r="H545" s="89">
        <f t="shared" si="41"/>
        <v>632097.1</v>
      </c>
      <c r="I545" s="89">
        <f t="shared" si="41"/>
        <v>2075.23</v>
      </c>
      <c r="J545" s="89">
        <f t="shared" si="41"/>
        <v>361.95</v>
      </c>
      <c r="K545" s="89">
        <f t="shared" si="41"/>
        <v>0</v>
      </c>
      <c r="L545" s="89">
        <f t="shared" si="41"/>
        <v>1206786.69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404024.39</v>
      </c>
      <c r="G549" s="87">
        <f>L526</f>
        <v>146484</v>
      </c>
      <c r="H549" s="87">
        <f>L531</f>
        <v>56255</v>
      </c>
      <c r="I549" s="87">
        <f>L536</f>
        <v>981</v>
      </c>
      <c r="J549" s="87">
        <f>L541</f>
        <v>7813</v>
      </c>
      <c r="K549" s="87">
        <f>SUM(F549:J549)</f>
        <v>615557.39</v>
      </c>
      <c r="L549" s="24" t="s">
        <v>288</v>
      </c>
      <c r="M549" s="8"/>
      <c r="N549" s="266"/>
    </row>
    <row r="550" spans="1:14" s="3" customFormat="1" ht="12.2" customHeight="1" x14ac:dyDescent="0.15">
      <c r="A550" s="22" t="s">
        <v>634</v>
      </c>
      <c r="B550" s="75">
        <v>21</v>
      </c>
      <c r="C550" s="75">
        <v>23</v>
      </c>
      <c r="D550" s="2" t="s">
        <v>432</v>
      </c>
      <c r="E550" s="75"/>
      <c r="F550" s="87">
        <f>L522</f>
        <v>212242.93</v>
      </c>
      <c r="G550" s="87">
        <f>L527</f>
        <v>0</v>
      </c>
      <c r="H550" s="87">
        <f>L532</f>
        <v>0</v>
      </c>
      <c r="I550" s="87">
        <f>L537</f>
        <v>0</v>
      </c>
      <c r="J550" s="87">
        <f>L542</f>
        <v>226</v>
      </c>
      <c r="K550" s="87">
        <f>SUM(F550:J550)</f>
        <v>212468.93</v>
      </c>
      <c r="L550" s="24" t="s">
        <v>288</v>
      </c>
      <c r="M550" s="8"/>
      <c r="N550" s="266"/>
    </row>
    <row r="551" spans="1:14" s="3" customFormat="1" ht="12.2" customHeight="1" thickBot="1" x14ac:dyDescent="0.2">
      <c r="A551" s="22" t="s">
        <v>635</v>
      </c>
      <c r="B551" s="75">
        <v>21</v>
      </c>
      <c r="C551" s="75">
        <v>24</v>
      </c>
      <c r="D551" s="2" t="s">
        <v>432</v>
      </c>
      <c r="E551" s="75"/>
      <c r="F551" s="87">
        <f>L523</f>
        <v>304302.37</v>
      </c>
      <c r="G551" s="87">
        <f>L528</f>
        <v>0</v>
      </c>
      <c r="H551" s="87">
        <f>L533</f>
        <v>0</v>
      </c>
      <c r="I551" s="87">
        <f>L538</f>
        <v>0</v>
      </c>
      <c r="J551" s="87">
        <f>L543</f>
        <v>74458</v>
      </c>
      <c r="K551" s="87">
        <f>SUM(F551:J551)</f>
        <v>378760.37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920569.69000000006</v>
      </c>
      <c r="G552" s="89">
        <f t="shared" si="42"/>
        <v>146484</v>
      </c>
      <c r="H552" s="89">
        <f t="shared" si="42"/>
        <v>56255</v>
      </c>
      <c r="I552" s="89">
        <f t="shared" si="42"/>
        <v>981</v>
      </c>
      <c r="J552" s="89">
        <f t="shared" si="42"/>
        <v>82497</v>
      </c>
      <c r="K552" s="89">
        <f t="shared" si="42"/>
        <v>1206786.69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6"/>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0</v>
      </c>
      <c r="G562" s="18">
        <v>0</v>
      </c>
      <c r="H562" s="18">
        <v>0</v>
      </c>
      <c r="I562" s="18">
        <v>0</v>
      </c>
      <c r="J562" s="18">
        <v>0</v>
      </c>
      <c r="K562" s="18">
        <v>0</v>
      </c>
      <c r="L562" s="88">
        <f>SUM(F562:K562)</f>
        <v>0</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0</v>
      </c>
      <c r="G567" s="18">
        <v>0</v>
      </c>
      <c r="H567" s="18">
        <v>0</v>
      </c>
      <c r="I567" s="18">
        <v>0</v>
      </c>
      <c r="J567" s="18">
        <v>0</v>
      </c>
      <c r="K567" s="18">
        <v>0</v>
      </c>
      <c r="L567" s="88">
        <f>SUM(F567:K567)</f>
        <v>0</v>
      </c>
      <c r="M567" s="8"/>
      <c r="N567" s="266"/>
    </row>
    <row r="568" spans="1:14" s="3" customFormat="1" ht="12.2" customHeight="1" x14ac:dyDescent="0.15">
      <c r="A568" s="22" t="s">
        <v>634</v>
      </c>
      <c r="B568" s="105">
        <v>22</v>
      </c>
      <c r="C568" s="105">
        <v>10</v>
      </c>
      <c r="D568" s="2" t="s">
        <v>432</v>
      </c>
      <c r="E568" s="105"/>
      <c r="F568" s="18">
        <v>0</v>
      </c>
      <c r="G568" s="18">
        <v>0</v>
      </c>
      <c r="H568" s="18">
        <v>0</v>
      </c>
      <c r="I568" s="18">
        <v>0</v>
      </c>
      <c r="J568" s="18">
        <v>0</v>
      </c>
      <c r="K568" s="18">
        <v>0</v>
      </c>
      <c r="L568" s="88">
        <f>SUM(F568:K568)</f>
        <v>0</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0</v>
      </c>
      <c r="H575" s="18">
        <v>0</v>
      </c>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459591.99</v>
      </c>
      <c r="H576" s="18">
        <v>1056340.8700000001</v>
      </c>
      <c r="I576" s="87">
        <f t="shared" ref="I576:I587" si="47">SUM(F576:H576)</f>
        <v>1515932.86</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0</v>
      </c>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0</v>
      </c>
      <c r="H579" s="18">
        <v>75412</v>
      </c>
      <c r="I579" s="87">
        <f t="shared" si="47"/>
        <v>75412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147001.20000000001</v>
      </c>
      <c r="H580" s="18">
        <v>124965.42</v>
      </c>
      <c r="I580" s="87">
        <f t="shared" si="47"/>
        <v>271966.62</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0</v>
      </c>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0</v>
      </c>
      <c r="G582" s="18">
        <v>45884.88</v>
      </c>
      <c r="H582" s="18">
        <v>83505.600000000006</v>
      </c>
      <c r="I582" s="87">
        <f t="shared" si="47"/>
        <v>129390.48000000001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v>0</v>
      </c>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0</v>
      </c>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v>0</v>
      </c>
      <c r="H585" s="18">
        <v>0</v>
      </c>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v>0</v>
      </c>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v>0</v>
      </c>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101429</v>
      </c>
      <c r="I591" s="18">
        <v>32457</v>
      </c>
      <c r="J591" s="18">
        <v>68972</v>
      </c>
      <c r="K591" s="104">
        <f t="shared" ref="K591:K597" si="48">SUM(H591:J591)</f>
        <v>202858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7813.36</v>
      </c>
      <c r="I592" s="18">
        <v>226.08</v>
      </c>
      <c r="J592" s="18">
        <v>74457.84</v>
      </c>
      <c r="K592" s="104">
        <f t="shared" si="48"/>
        <v>82497.279999999999</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0</v>
      </c>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0</v>
      </c>
      <c r="J594" s="18">
        <v>0</v>
      </c>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642.9</v>
      </c>
      <c r="I595" s="18">
        <v>0</v>
      </c>
      <c r="J595" s="18">
        <v>0</v>
      </c>
      <c r="K595" s="104">
        <f t="shared" si="48"/>
        <v>642.9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v>1402.7</v>
      </c>
      <c r="J597" s="18">
        <v>2980.75</v>
      </c>
      <c r="K597" s="104">
        <f t="shared" si="48"/>
        <v>4383.45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109885.26</v>
      </c>
      <c r="I598" s="108">
        <f>SUM(I591:I597)</f>
        <v>34085.78</v>
      </c>
      <c r="J598" s="108">
        <f>SUM(J591:J597)</f>
        <v>146410.59</v>
      </c>
      <c r="K598" s="108">
        <f>SUM(K591:K597)</f>
        <v>290381.63000000006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97618.49</v>
      </c>
      <c r="I604" s="18">
        <v>0</v>
      </c>
      <c r="J604" s="18">
        <v>0</v>
      </c>
      <c r="K604" s="104">
        <f>SUM(H604:J604)</f>
        <v>97618.49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97618.49</v>
      </c>
      <c r="I605" s="108">
        <f>SUM(I602:I604)</f>
        <v>0</v>
      </c>
      <c r="J605" s="108">
        <f>SUM(J602:J604)</f>
        <v>0</v>
      </c>
      <c r="K605" s="108">
        <f>SUM(K602:K604)</f>
        <v>97618.49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1587266.96</v>
      </c>
      <c r="H617" s="109">
        <f>SUM(F52)</f>
        <v>1587266.96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387859.69</v>
      </c>
      <c r="H618" s="109">
        <f>SUM(G52)</f>
        <v>387859.69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533340.84</v>
      </c>
      <c r="H619" s="109">
        <f>SUM(H52)</f>
        <v>533340.84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336706.89</v>
      </c>
      <c r="H621" s="109">
        <f>SUM(J52)</f>
        <v>336706.89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567305.37</v>
      </c>
      <c r="H622" s="109">
        <f>F476</f>
        <v>567305.37000000011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336706.89</v>
      </c>
      <c r="H626" s="109">
        <f>J476</f>
        <v>336706.89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5725227.0300000003</v>
      </c>
      <c r="H627" s="104">
        <f>SUM(F468)</f>
        <v>5725227.0300000003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52938.479999999996</v>
      </c>
      <c r="H628" s="104">
        <f>SUM(G468)</f>
        <v>52938.48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45724.88</v>
      </c>
      <c r="H629" s="104">
        <f>SUM(H468)</f>
        <v>45724.88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78055.679999999993</v>
      </c>
      <c r="H631" s="104">
        <f>SUM(J468)</f>
        <v>78055.679999999993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5535060.540000001</v>
      </c>
      <c r="H632" s="104">
        <f>SUM(F472)</f>
        <v>5535060.54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45724.88</v>
      </c>
      <c r="H633" s="104">
        <f>SUM(H472)</f>
        <v>45724.88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4897.4799999999996</v>
      </c>
      <c r="H634" s="104">
        <f>I369</f>
        <v>4897.4799999999996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52938.479999999996</v>
      </c>
      <c r="H635" s="104">
        <f>SUM(G472)</f>
        <v>52938.48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78055.679999999993</v>
      </c>
      <c r="H637" s="164">
        <f>SUM(J468)</f>
        <v>78055.679999999993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336706.89</v>
      </c>
      <c r="H639" s="104">
        <f>SUM(F461)</f>
        <v>336706.89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336706.89</v>
      </c>
      <c r="H642" s="104">
        <f>SUM(I461)</f>
        <v>336706.89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3054.68</v>
      </c>
      <c r="H644" s="104">
        <f>H408</f>
        <v>3054.68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75001</v>
      </c>
      <c r="H645" s="104">
        <f>G408</f>
        <v>75001</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78055.679999999993</v>
      </c>
      <c r="H646" s="104">
        <f>L408</f>
        <v>78055.679999999993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290381.63000000006</v>
      </c>
      <c r="H647" s="104">
        <f>L208+L226+L244</f>
        <v>290381.63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97618.49</v>
      </c>
      <c r="H648" s="104">
        <f>(J257+J338)-(J255+J336)</f>
        <v>97618.49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109885.26</v>
      </c>
      <c r="H649" s="104">
        <f>H598</f>
        <v>109885.26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34085.78</v>
      </c>
      <c r="H650" s="104">
        <f>I598</f>
        <v>34085.78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146410.59</v>
      </c>
      <c r="H651" s="104">
        <f>J598</f>
        <v>146410.59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19117.04</v>
      </c>
      <c r="H652" s="104">
        <f>K263+K345</f>
        <v>19117.04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75001</v>
      </c>
      <c r="H655" s="104">
        <f>K266+K347</f>
        <v>75001</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3315925.49</v>
      </c>
      <c r="G660" s="19">
        <f>(L229+L309+L359)</f>
        <v>711273.62000000011</v>
      </c>
      <c r="H660" s="19">
        <f>(L247+L328+L360)</f>
        <v>1512406.7500000002</v>
      </c>
      <c r="I660" s="19">
        <f>SUM(F660:H660)</f>
        <v>5539605.8600000003</v>
      </c>
      <c r="J660" s="13"/>
      <c r="K660" s="13"/>
      <c r="L660" s="13"/>
      <c r="M660" s="9"/>
    </row>
    <row r="661" spans="1:13" s="3" customFormat="1" ht="12.2" customHeight="1" x14ac:dyDescent="0.2">
      <c r="A661" s="1" t="s">
        <v>127</v>
      </c>
      <c r="F661" s="19">
        <f>(L358/IF(SUM(L358:L360)=0,1,SUM(L358:L360))*(SUM(G97:G110)))</f>
        <v>21832.699999999997</v>
      </c>
      <c r="G661" s="19">
        <f>(L359/IF(SUM(L358:L360)=0,1,SUM(L358:L360))*(SUM(G97:G110)))</f>
        <v>0</v>
      </c>
      <c r="H661" s="19">
        <f>(L360/IF(SUM(L358:L360)=0,1,SUM(L358:L360))*(SUM(G97:G110)))</f>
        <v>0</v>
      </c>
      <c r="I661" s="19">
        <f>SUM(F661:H661)</f>
        <v>21832.699999999997</v>
      </c>
      <c r="J661"/>
      <c r="K661" s="13"/>
      <c r="L661" s="13"/>
      <c r="M661" s="9"/>
    </row>
    <row r="662" spans="1:13" s="3" customFormat="1" ht="12.2" customHeight="1" x14ac:dyDescent="0.2">
      <c r="A662" s="1" t="s">
        <v>128</v>
      </c>
      <c r="F662" s="19">
        <f>(L208+L287)-(J208+J287)</f>
        <v>109885.26</v>
      </c>
      <c r="G662" s="19">
        <f>(L226+L306)-(J226+J306)</f>
        <v>34085.78</v>
      </c>
      <c r="H662" s="19">
        <f>(L244+L325)-(J244+J325)</f>
        <v>146410.59</v>
      </c>
      <c r="I662" s="19">
        <f>SUM(F662:H662)</f>
        <v>290381.63</v>
      </c>
      <c r="J662"/>
      <c r="K662" s="13"/>
      <c r="L662" s="13"/>
      <c r="M662" s="8"/>
    </row>
    <row r="663" spans="1:13" s="3" customFormat="1" ht="12.2" customHeight="1" x14ac:dyDescent="0.15">
      <c r="A663" s="198" t="s">
        <v>129</v>
      </c>
      <c r="B663" s="169"/>
      <c r="C663" s="169"/>
      <c r="D663" s="169"/>
      <c r="E663" s="169"/>
      <c r="F663" s="199">
        <f>SUM(F575:F587)+SUM(H602:H604)+SUM(L611)</f>
        <v>97618.49</v>
      </c>
      <c r="G663" s="199">
        <f>SUM(G575:G587)+SUM(I602:I604)+L612</f>
        <v>652478.06999999995</v>
      </c>
      <c r="H663" s="199">
        <f>SUM(H575:H587)+SUM(J602:J604)+L613</f>
        <v>1340223.8900000001</v>
      </c>
      <c r="I663" s="19">
        <f>SUM(F663:H663)</f>
        <v>2090320.4500000002</v>
      </c>
      <c r="J663" s="13"/>
      <c r="K663" s="13"/>
      <c r="L663" s="13"/>
      <c r="M663" s="9"/>
    </row>
    <row r="664" spans="1:13" s="3" customFormat="1" ht="12.2" customHeight="1" x14ac:dyDescent="0.15">
      <c r="A664" s="1" t="s">
        <v>130</v>
      </c>
      <c r="F664" s="19">
        <f>F660-SUM(F661:F663)</f>
        <v>3086589.04</v>
      </c>
      <c r="G664" s="19">
        <f>G660-SUM(G661:G663)</f>
        <v>24709.770000000135</v>
      </c>
      <c r="H664" s="19">
        <f>H660-SUM(H661:H663)</f>
        <v>25772.270000000019</v>
      </c>
      <c r="I664" s="19">
        <f>I660-SUM(I661:I663)</f>
        <v>3137071.08</v>
      </c>
      <c r="J664" s="13"/>
      <c r="K664" s="13"/>
      <c r="L664" s="13"/>
      <c r="M664" s="9"/>
    </row>
    <row r="665" spans="1:13" s="3" customFormat="1" ht="12.2" customHeight="1" x14ac:dyDescent="0.2">
      <c r="A665" s="1" t="s">
        <v>131</v>
      </c>
      <c r="F665" s="246">
        <v>154.72</v>
      </c>
      <c r="G665" s="247"/>
      <c r="H665" s="247"/>
      <c r="I665" s="19">
        <f>SUM(F665:H665)</f>
        <v>154.72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19949.52</v>
      </c>
      <c r="G667" s="19" t="e">
        <f>ROUND(G664/G665,2)</f>
        <v>#DIV/0!</v>
      </c>
      <c r="H667" s="19" t="e">
        <f>ROUND(H664/H665,2)</f>
        <v>#DIV/0!</v>
      </c>
      <c r="I667" s="19">
        <f>ROUND(I664/I665,2)</f>
        <v>20275.8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-24709.77</v>
      </c>
      <c r="H669" s="18">
        <v>-25772.27</v>
      </c>
      <c r="I669" s="19">
        <f>SUM(F669:H669)</f>
        <v>-50482.04</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19949.52</v>
      </c>
      <c r="G672" s="19" t="e">
        <f>ROUND((G664+G669)/(G665+G670),2)</f>
        <v>#DIV/0!</v>
      </c>
      <c r="H672" s="19" t="e">
        <f>ROUND((H664+H669)/(H665+H670),2)</f>
        <v>#DIV/0!</v>
      </c>
      <c r="I672" s="19">
        <f>ROUND((I664+I669)/(I665+I670),2)</f>
        <v>19949.52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I50" sqref="I5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Rollinsford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813113.63</v>
      </c>
      <c r="C9" s="229">
        <f>'DOE25'!G197+'DOE25'!G215+'DOE25'!G233+'DOE25'!G276+'DOE25'!G295+'DOE25'!G314</f>
        <v>380056.64</v>
      </c>
    </row>
    <row r="10" spans="1:3" x14ac:dyDescent="0.2">
      <c r="A10" t="s">
        <v>775</v>
      </c>
      <c r="B10" s="240">
        <v>749388.08</v>
      </c>
      <c r="C10" s="240">
        <f>193883.9+1765.26+1685.88+810.11+6222.62+673.67+55278.63+101841.43</f>
        <v>362161.5</v>
      </c>
    </row>
    <row r="11" spans="1:3" x14ac:dyDescent="0.2">
      <c r="A11" t="s">
        <v>776</v>
      </c>
      <c r="B11" s="240">
        <f>34163.05</f>
        <v>34163.050000000003</v>
      </c>
      <c r="C11" s="240">
        <f>2613.59+3887.74</f>
        <v>6501.33</v>
      </c>
    </row>
    <row r="12" spans="1:3" x14ac:dyDescent="0.2">
      <c r="A12" t="s">
        <v>777</v>
      </c>
      <c r="B12" s="240">
        <v>29562.5</v>
      </c>
      <c r="C12" s="240">
        <f>2261.84+7.97+9124</f>
        <v>11393.81</v>
      </c>
    </row>
    <row r="13" spans="1:3" x14ac:dyDescent="0.2">
      <c r="A13" t="str">
        <f>IF(B9=B13,IF(C9=C13,"Check Total OK","Check Total Error"),"Check Total Error")</f>
        <v>Check Total OK</v>
      </c>
      <c r="B13" s="231">
        <f>SUM(B10:B12)</f>
        <v>813113.63</v>
      </c>
      <c r="C13" s="231">
        <f>SUM(C10:C12)</f>
        <v>380056.64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330600.96000000002</v>
      </c>
      <c r="C18" s="229">
        <f>'DOE25'!G198+'DOE25'!G216+'DOE25'!G234+'DOE25'!G277+'DOE25'!G296+'DOE25'!G315</f>
        <v>81535.62</v>
      </c>
    </row>
    <row r="19" spans="1:3" x14ac:dyDescent="0.2">
      <c r="A19" t="s">
        <v>775</v>
      </c>
      <c r="B19" s="240">
        <f>102041+15483+15483</f>
        <v>133007</v>
      </c>
      <c r="C19" s="240">
        <f>11318.97+294.9+239.12+99+7751.13+1185.97+1185.97+17714.33+2687.88+2687.88</f>
        <v>45165.149999999994</v>
      </c>
    </row>
    <row r="20" spans="1:3" x14ac:dyDescent="0.2">
      <c r="A20" t="s">
        <v>776</v>
      </c>
      <c r="B20" s="240">
        <f>32455.49+157535.52+2547.18+5055.77</f>
        <v>197593.95999999996</v>
      </c>
      <c r="C20" s="240">
        <f>2482.79+12007.59+841.04+194.84+2623.32+15663.51+1569.98+386.77+575.35+25.28</f>
        <v>36370.47</v>
      </c>
    </row>
    <row r="21" spans="1:3" x14ac:dyDescent="0.2">
      <c r="A21" t="s">
        <v>777</v>
      </c>
      <c r="B21" s="240">
        <v>0</v>
      </c>
      <c r="C21" s="240">
        <v>0</v>
      </c>
    </row>
    <row r="22" spans="1:3" x14ac:dyDescent="0.2">
      <c r="A22" t="str">
        <f>IF(B18=B22,IF(C18=C22,"Check Total OK","Check Total Error"),"Check Total Error")</f>
        <v>Check Total OK</v>
      </c>
      <c r="B22" s="231">
        <f>SUM(B19:B21)</f>
        <v>330600.95999999996</v>
      </c>
      <c r="C22" s="231">
        <f>SUM(C19:C21)</f>
        <v>81535.62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v>0</v>
      </c>
      <c r="C37" s="240">
        <v>0</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Rollinsford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3813175.1300000004</v>
      </c>
      <c r="D5" s="20">
        <f>SUM('DOE25'!L197:L200)+SUM('DOE25'!L215:L218)+SUM('DOE25'!L233:L236)-F5-G5-H5</f>
        <v>3730206.6100000003</v>
      </c>
      <c r="E5" s="243"/>
      <c r="F5" s="244">
        <v>880.6</v>
      </c>
      <c r="G5" s="53">
        <f>SUM('DOE25'!J197:J200)+SUM('DOE25'!J215:J218)+SUM('DOE25'!J233:J236)</f>
        <v>80743.33</v>
      </c>
      <c r="H5" s="53">
        <f>SUM('DOE25'!K197:K200)+SUM('DOE25'!K215:K218)+SUM('DOE25'!K233:K236)</f>
        <v>1344.59</v>
      </c>
      <c r="I5" s="256"/>
    </row>
    <row r="6" spans="1:9" x14ac:dyDescent="0.2">
      <c r="A6" s="32">
        <v>2100</v>
      </c>
      <c r="B6" t="s">
        <v>796</v>
      </c>
      <c r="C6" s="276">
        <f t="shared" si="0"/>
        <v>346103.8</v>
      </c>
      <c r="D6" s="20">
        <f>'DOE25'!L202+'DOE25'!L220+'DOE25'!L238-F6-G6-H6</f>
        <v>337279.88</v>
      </c>
      <c r="E6" s="243"/>
      <c r="F6" s="244">
        <v>8823.92</v>
      </c>
      <c r="G6" s="53">
        <f>'DOE25'!J202+'DOE25'!J220+'DOE25'!J238</f>
        <v>0</v>
      </c>
      <c r="H6" s="53">
        <f>'DOE25'!K202+'DOE25'!K220+'DOE25'!K238</f>
        <v>0</v>
      </c>
      <c r="I6" s="256"/>
    </row>
    <row r="7" spans="1:9" x14ac:dyDescent="0.2">
      <c r="A7" s="32">
        <v>2200</v>
      </c>
      <c r="B7" t="s">
        <v>821</v>
      </c>
      <c r="C7" s="276">
        <f t="shared" si="0"/>
        <v>58443.81</v>
      </c>
      <c r="D7" s="20">
        <f>'DOE25'!L203+'DOE25'!L221+'DOE25'!L239-F7-G7-H7</f>
        <v>56734.95</v>
      </c>
      <c r="E7" s="243"/>
      <c r="F7" s="244">
        <v>0</v>
      </c>
      <c r="G7" s="53">
        <f>'DOE25'!J203+'DOE25'!J221+'DOE25'!J239</f>
        <v>791.16</v>
      </c>
      <c r="H7" s="53">
        <f>'DOE25'!K203+'DOE25'!K221+'DOE25'!K239</f>
        <v>917.7</v>
      </c>
      <c r="I7" s="256"/>
    </row>
    <row r="8" spans="1:9" x14ac:dyDescent="0.2">
      <c r="A8" s="32">
        <v>2300</v>
      </c>
      <c r="B8" t="s">
        <v>797</v>
      </c>
      <c r="C8" s="276">
        <f t="shared" si="0"/>
        <v>145403.66999999998</v>
      </c>
      <c r="D8" s="243"/>
      <c r="E8" s="20">
        <f>'DOE25'!L204+'DOE25'!L222+'DOE25'!L240-F8-G8-H8-D9-D11</f>
        <v>142144.37</v>
      </c>
      <c r="F8" s="244">
        <v>0</v>
      </c>
      <c r="G8" s="53">
        <f>'DOE25'!J204+'DOE25'!J222+'DOE25'!J240</f>
        <v>0</v>
      </c>
      <c r="H8" s="53">
        <f>'DOE25'!K204+'DOE25'!K222+'DOE25'!K240</f>
        <v>3259.3</v>
      </c>
      <c r="I8" s="256"/>
    </row>
    <row r="9" spans="1:9" ht="14.25" x14ac:dyDescent="0.2">
      <c r="A9" s="32">
        <v>2310</v>
      </c>
      <c r="B9" s="185" t="s">
        <v>890</v>
      </c>
      <c r="C9" s="276">
        <f t="shared" si="0"/>
        <v>15782.970000000001</v>
      </c>
      <c r="D9" s="244">
        <f>3259.3+9423.44+3085.23+15</f>
        <v>15782.970000000001</v>
      </c>
      <c r="E9" s="243"/>
      <c r="F9" s="253"/>
      <c r="G9" s="253"/>
      <c r="H9" s="253"/>
      <c r="I9" s="256"/>
    </row>
    <row r="10" spans="1:9" ht="14.25" x14ac:dyDescent="0.2">
      <c r="A10" s="32">
        <v>2317</v>
      </c>
      <c r="B10" s="185" t="s">
        <v>891</v>
      </c>
      <c r="C10" s="276">
        <f t="shared" si="0"/>
        <v>9650</v>
      </c>
      <c r="D10" s="243"/>
      <c r="E10" s="244">
        <v>9650</v>
      </c>
      <c r="F10" s="253"/>
      <c r="G10" s="253"/>
      <c r="H10" s="253"/>
      <c r="I10" s="256"/>
    </row>
    <row r="11" spans="1:9" ht="14.25" x14ac:dyDescent="0.2">
      <c r="A11" s="32">
        <v>2321</v>
      </c>
      <c r="B11" s="185" t="s">
        <v>892</v>
      </c>
      <c r="C11" s="276">
        <f t="shared" si="0"/>
        <v>62927.77</v>
      </c>
      <c r="D11" s="244">
        <v>62927.77</v>
      </c>
      <c r="E11" s="243"/>
      <c r="F11" s="253"/>
      <c r="G11" s="253"/>
      <c r="H11" s="253"/>
      <c r="I11" s="256"/>
    </row>
    <row r="12" spans="1:9" x14ac:dyDescent="0.2">
      <c r="A12" s="32">
        <v>2400</v>
      </c>
      <c r="B12" t="s">
        <v>711</v>
      </c>
      <c r="C12" s="276">
        <f t="shared" si="0"/>
        <v>198119.33</v>
      </c>
      <c r="D12" s="20">
        <f>'DOE25'!L205+'DOE25'!L223+'DOE25'!L241-F12-G12-H12</f>
        <v>198119.33</v>
      </c>
      <c r="E12" s="243"/>
      <c r="F12" s="244">
        <v>0</v>
      </c>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510604.39</v>
      </c>
      <c r="D14" s="20">
        <f>'DOE25'!L207+'DOE25'!L225+'DOE25'!L243-F14-G14-H14</f>
        <v>494520.39</v>
      </c>
      <c r="E14" s="243"/>
      <c r="F14" s="244">
        <v>0</v>
      </c>
      <c r="G14" s="53">
        <f>'DOE25'!J207+'DOE25'!J225+'DOE25'!J243</f>
        <v>16084</v>
      </c>
      <c r="H14" s="53">
        <f>'DOE25'!K207+'DOE25'!K225+'DOE25'!K243</f>
        <v>0</v>
      </c>
      <c r="I14" s="256"/>
    </row>
    <row r="15" spans="1:9" x14ac:dyDescent="0.2">
      <c r="A15" s="32">
        <v>2700</v>
      </c>
      <c r="B15" t="s">
        <v>799</v>
      </c>
      <c r="C15" s="276">
        <f t="shared" si="0"/>
        <v>290381.63</v>
      </c>
      <c r="D15" s="20">
        <f>'DOE25'!L208+'DOE25'!L226+'DOE25'!L244-F15-G15-H15</f>
        <v>66353.63</v>
      </c>
      <c r="E15" s="243"/>
      <c r="F15" s="244">
        <f>177858+46170</f>
        <v>224028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52938.479999999996</v>
      </c>
      <c r="D29" s="284">
        <f>'DOE25'!L358+'DOE25'!L359+'DOE25'!L360-'DOE25'!I367-F29-G29-H29</f>
        <v>4897.4799999999959</v>
      </c>
      <c r="E29" s="243"/>
      <c r="F29" s="244">
        <v>48041</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45724.88</v>
      </c>
      <c r="D31" s="20">
        <f>'DOE25'!L290+'DOE25'!L309+'DOE25'!L328+'DOE25'!L333+'DOE25'!L334+'DOE25'!L335-F31-G31-H31</f>
        <v>44962.06</v>
      </c>
      <c r="E31" s="243"/>
      <c r="F31" s="244">
        <v>0</v>
      </c>
      <c r="G31" s="53">
        <f>'DOE25'!J290+'DOE25'!J309+'DOE25'!J328+'DOE25'!J333+'DOE25'!J334+'DOE25'!J335</f>
        <v>0</v>
      </c>
      <c r="H31" s="53">
        <f>'DOE25'!K290+'DOE25'!K309+'DOE25'!K328+'DOE25'!K333+'DOE25'!K334+'DOE25'!K335</f>
        <v>762.82</v>
      </c>
      <c r="I31" s="256"/>
    </row>
    <row r="32" spans="1:9" ht="12" thickBot="1" x14ac:dyDescent="0.25">
      <c r="C32" s="277"/>
      <c r="G32" s="251"/>
      <c r="H32" s="251"/>
      <c r="I32" s="258"/>
    </row>
    <row r="33" spans="1:9" ht="12" thickTop="1" x14ac:dyDescent="0.2">
      <c r="B33" t="s">
        <v>809</v>
      </c>
      <c r="D33" s="245">
        <f t="shared" ref="D33:I33" si="1">SUM(D5:D31)</f>
        <v>5011785.07</v>
      </c>
      <c r="E33" s="245">
        <f t="shared" si="1"/>
        <v>151794.37</v>
      </c>
      <c r="F33" s="245">
        <f t="shared" si="1"/>
        <v>281773.52</v>
      </c>
      <c r="G33" s="245">
        <f t="shared" si="1"/>
        <v>97618.49</v>
      </c>
      <c r="H33" s="245">
        <f t="shared" si="1"/>
        <v>6284.41</v>
      </c>
      <c r="I33" s="245">
        <f t="shared" si="1"/>
        <v>0</v>
      </c>
    </row>
    <row r="35" spans="1:9" ht="12" thickBot="1" x14ac:dyDescent="0.25">
      <c r="B35" s="251" t="s">
        <v>831</v>
      </c>
      <c r="D35" s="252">
        <f>E33</f>
        <v>151794.37</v>
      </c>
      <c r="E35" s="248"/>
    </row>
    <row r="36" spans="1:9" ht="12" thickTop="1" x14ac:dyDescent="0.2">
      <c r="B36" t="s">
        <v>810</v>
      </c>
      <c r="D36" s="20">
        <f>D33</f>
        <v>5011785.07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Rollinsford School District</v>
      </c>
      <c r="B2" s="126">
        <f>'DOE25'!B2</f>
        <v>463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3262987.01</v>
      </c>
      <c r="G4" s="303">
        <f>'DOE25'!L211+'DOE25'!L290</f>
        <v>3262987.0100000002</v>
      </c>
      <c r="H4" s="304">
        <f>F4-G4</f>
        <v>0</v>
      </c>
      <c r="I4" s="310" t="str">
        <f>IF(H4=0,"","Does not match DOE25 page 7 and 11 Totals!!")</f>
        <v/>
      </c>
      <c r="N4"/>
    </row>
    <row r="5" spans="1:18" x14ac:dyDescent="0.2">
      <c r="A5" s="21" t="s">
        <v>1418</v>
      </c>
      <c r="B5" s="305">
        <f>IFERROR(VLOOKUP(A5,'School Tables'!$C$3:$D$368,2,FALSE),"")</f>
        <v>22810</v>
      </c>
      <c r="C5" s="297" t="str">
        <f>IFERROR(INDEX('School Tables'!$B$3:$B$368,MATCH('School Level Expenditures'!B5,'School Tables'!$D$3:$D$368,0)),"")</f>
        <v>Rollinsford</v>
      </c>
      <c r="D5" s="294">
        <f>3159665.18+1344.59+56252.36</f>
        <v>3217262.13</v>
      </c>
      <c r="E5" s="294">
        <v>45724.88</v>
      </c>
      <c r="F5" s="313">
        <f>D5+E5</f>
        <v>3262987.01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711273.62</v>
      </c>
      <c r="G24" s="303">
        <f>'DOE25'!L229+'DOE25'!L309</f>
        <v>711273.62000000011</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711273.62</v>
      </c>
      <c r="E25" s="294">
        <v>0</v>
      </c>
      <c r="F25" s="308">
        <f>D25+E25</f>
        <v>711273.62</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1512406.75</v>
      </c>
      <c r="G36" s="303">
        <f>'DOE25'!L247+'DOE25'!L328</f>
        <v>1512406.7500000002</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1512406.75</v>
      </c>
      <c r="E37" s="294">
        <v>0</v>
      </c>
      <c r="F37" s="308">
        <f>D37+E37</f>
        <v>1512406.75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Rollinsford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624199.81000000006</v>
      </c>
      <c r="D8" s="95">
        <f>'DOE25'!G9</f>
        <v>0</v>
      </c>
      <c r="E8" s="95">
        <f>'DOE25'!H9</f>
        <v>0</v>
      </c>
      <c r="F8" s="95">
        <f>'DOE25'!I9</f>
        <v>0</v>
      </c>
      <c r="G8" s="95">
        <f>'DOE25'!J9</f>
        <v>0</v>
      </c>
      <c r="H8" s="124"/>
      <c r="I8" s="124"/>
    </row>
    <row r="9" spans="1:9" x14ac:dyDescent="0.2">
      <c r="A9" s="1" t="s">
        <v>140</v>
      </c>
      <c r="B9" s="6">
        <v>110</v>
      </c>
      <c r="C9" s="95">
        <f>'DOE25'!F10</f>
        <v>7492.53</v>
      </c>
      <c r="D9" s="95">
        <f>'DOE25'!G10</f>
        <v>0</v>
      </c>
      <c r="E9" s="95">
        <f>'DOE25'!H10</f>
        <v>0</v>
      </c>
      <c r="F9" s="95">
        <f>'DOE25'!I10</f>
        <v>0</v>
      </c>
      <c r="G9" s="95">
        <f>'DOE25'!J10</f>
        <v>336706.89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955406.89</v>
      </c>
      <c r="D11" s="95">
        <f>'DOE25'!G12</f>
        <v>385079.25</v>
      </c>
      <c r="E11" s="95">
        <f>'DOE25'!H12</f>
        <v>525203</v>
      </c>
      <c r="F11" s="95">
        <f>'DOE25'!I12</f>
        <v>0</v>
      </c>
      <c r="G11" s="95">
        <f>'DOE25'!J12</f>
        <v>0</v>
      </c>
      <c r="H11" s="124"/>
      <c r="I11" s="124"/>
    </row>
    <row r="12" spans="1:9" x14ac:dyDescent="0.2">
      <c r="A12" s="1" t="s">
        <v>143</v>
      </c>
      <c r="B12" s="6">
        <v>140</v>
      </c>
      <c r="C12" s="95">
        <f>'DOE25'!F13</f>
        <v>167.73</v>
      </c>
      <c r="D12" s="95">
        <f>'DOE25'!G13</f>
        <v>0</v>
      </c>
      <c r="E12" s="95">
        <f>'DOE25'!H13</f>
        <v>0</v>
      </c>
      <c r="F12" s="95">
        <f>'DOE25'!I13</f>
        <v>0</v>
      </c>
      <c r="G12" s="95">
        <f>'DOE25'!J13</f>
        <v>0</v>
      </c>
      <c r="H12" s="124"/>
      <c r="I12" s="124"/>
    </row>
    <row r="13" spans="1:9" x14ac:dyDescent="0.2">
      <c r="A13" s="1" t="s">
        <v>144</v>
      </c>
      <c r="B13" s="6">
        <v>150</v>
      </c>
      <c r="C13" s="95">
        <f>'DOE25'!F14</f>
        <v>0</v>
      </c>
      <c r="D13" s="95">
        <f>'DOE25'!G14</f>
        <v>2780.44</v>
      </c>
      <c r="E13" s="95">
        <f>'DOE25'!H14</f>
        <v>8137.84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1587266.96</v>
      </c>
      <c r="D18" s="41">
        <f>SUM(D8:D17)</f>
        <v>387859.69</v>
      </c>
      <c r="E18" s="41">
        <f>SUM(E8:E17)</f>
        <v>533340.84</v>
      </c>
      <c r="F18" s="41">
        <f>SUM(F8:F17)</f>
        <v>0</v>
      </c>
      <c r="G18" s="41">
        <f>SUM(G8:G17)</f>
        <v>336706.89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925008.71</v>
      </c>
      <c r="D21" s="95">
        <f>'DOE25'!G22</f>
        <v>380112.44</v>
      </c>
      <c r="E21" s="95">
        <f>'DOE25'!H22</f>
        <v>533328.14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92471.38</v>
      </c>
      <c r="D23" s="95">
        <f>'DOE25'!G24</f>
        <v>5669.1</v>
      </c>
      <c r="E23" s="95">
        <f>'DOE25'!H24</f>
        <v>12.7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2481.5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2078.15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1019961.59</v>
      </c>
      <c r="D31" s="41">
        <f>SUM(D21:D30)</f>
        <v>387859.69</v>
      </c>
      <c r="E31" s="41">
        <f>SUM(E21:E30)</f>
        <v>533340.84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97000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125599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336706.89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344706.37</v>
      </c>
      <c r="D49" s="24" t="s">
        <v>288</v>
      </c>
      <c r="E49" s="24" t="s">
        <v>288</v>
      </c>
      <c r="F49" s="24" t="s">
        <v>288</v>
      </c>
      <c r="G49" s="24" t="s">
        <v>288</v>
      </c>
      <c r="H49" s="124"/>
      <c r="I49" s="124"/>
    </row>
    <row r="50" spans="1:9" ht="12.75" thickTop="1" thickBot="1" x14ac:dyDescent="0.25">
      <c r="A50" s="38" t="s">
        <v>884</v>
      </c>
      <c r="B50" s="48"/>
      <c r="C50" s="41">
        <f>SUM(C34:C49)</f>
        <v>567305.37</v>
      </c>
      <c r="D50" s="41">
        <f>SUM(D34:D49)</f>
        <v>0</v>
      </c>
      <c r="E50" s="41">
        <f>SUM(E34:E49)</f>
        <v>0</v>
      </c>
      <c r="F50" s="41">
        <f>SUM(F34:F49)</f>
        <v>0</v>
      </c>
      <c r="G50" s="41">
        <f>SUM(G34:G49)</f>
        <v>336706.89</v>
      </c>
      <c r="H50" s="124"/>
      <c r="I50" s="124"/>
    </row>
    <row r="51" spans="1:9" ht="12" thickTop="1" x14ac:dyDescent="0.2">
      <c r="A51" s="38" t="s">
        <v>885</v>
      </c>
      <c r="B51" s="2"/>
      <c r="C51" s="41">
        <f>C50+C31</f>
        <v>1587266.96</v>
      </c>
      <c r="D51" s="41">
        <f>D50+D31</f>
        <v>387859.69</v>
      </c>
      <c r="E51" s="41">
        <f>E50+E31</f>
        <v>533340.84</v>
      </c>
      <c r="F51" s="41">
        <f>F50+F31</f>
        <v>0</v>
      </c>
      <c r="G51" s="41">
        <f>G50+G31</f>
        <v>336706.89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4434240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92.04</v>
      </c>
      <c r="D59" s="95">
        <f>'DOE25'!G96</f>
        <v>0</v>
      </c>
      <c r="E59" s="95">
        <f>'DOE25'!H96</f>
        <v>0</v>
      </c>
      <c r="F59" s="95">
        <f>'DOE25'!I96</f>
        <v>0</v>
      </c>
      <c r="G59" s="95">
        <f>'DOE25'!J96</f>
        <v>3054.68</v>
      </c>
      <c r="H59"/>
      <c r="I59"/>
    </row>
    <row r="60" spans="1:9" x14ac:dyDescent="0.2">
      <c r="A60" s="1" t="s">
        <v>170</v>
      </c>
      <c r="B60" s="118" t="s">
        <v>171</v>
      </c>
      <c r="C60" s="24" t="s">
        <v>288</v>
      </c>
      <c r="D60" s="95">
        <f>'DOE25'!G97</f>
        <v>21832.699999999997</v>
      </c>
      <c r="E60" s="24" t="s">
        <v>288</v>
      </c>
      <c r="F60" s="24" t="s">
        <v>288</v>
      </c>
      <c r="G60" s="24" t="s">
        <v>288</v>
      </c>
      <c r="H60"/>
      <c r="I60"/>
    </row>
    <row r="61" spans="1:9" ht="12" thickBot="1" x14ac:dyDescent="0.25">
      <c r="A61" s="1" t="s">
        <v>172</v>
      </c>
      <c r="B61" s="118" t="s">
        <v>173</v>
      </c>
      <c r="C61" s="95">
        <f>SUM('DOE25'!F98:F110)</f>
        <v>55519.89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55611.93</v>
      </c>
      <c r="D62" s="130">
        <f>SUM(D57:D61)</f>
        <v>21832.699999999997</v>
      </c>
      <c r="E62" s="130">
        <f>SUM(E57:E61)</f>
        <v>0</v>
      </c>
      <c r="F62" s="130">
        <f>SUM(F57:F61)</f>
        <v>0</v>
      </c>
      <c r="G62" s="130">
        <f>SUM(G57:G61)</f>
        <v>3054.68</v>
      </c>
      <c r="H62"/>
      <c r="I62"/>
    </row>
    <row r="63" spans="1:9" ht="12" thickTop="1" x14ac:dyDescent="0.2">
      <c r="A63" s="29" t="s">
        <v>175</v>
      </c>
      <c r="B63" s="6"/>
      <c r="C63" s="22">
        <f>C56+C62</f>
        <v>4489851.93</v>
      </c>
      <c r="D63" s="22">
        <f>D56+D62</f>
        <v>21832.699999999997</v>
      </c>
      <c r="E63" s="22">
        <f>E56+E62</f>
        <v>0</v>
      </c>
      <c r="F63" s="22">
        <f>F56+F62</f>
        <v>0</v>
      </c>
      <c r="G63" s="22">
        <f>G56+G62</f>
        <v>3054.68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578506.22</v>
      </c>
      <c r="D66" s="24" t="s">
        <v>288</v>
      </c>
      <c r="E66" s="24" t="s">
        <v>288</v>
      </c>
      <c r="F66" s="24" t="s">
        <v>288</v>
      </c>
      <c r="G66" s="24" t="s">
        <v>288</v>
      </c>
      <c r="H66"/>
      <c r="I66"/>
    </row>
    <row r="67" spans="1:9" x14ac:dyDescent="0.2">
      <c r="A67" s="1" t="s">
        <v>770</v>
      </c>
      <c r="B67" s="6">
        <v>3112</v>
      </c>
      <c r="C67" s="95">
        <f>'DOE25'!F118</f>
        <v>589736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1170198.31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25660.47</v>
      </c>
      <c r="D74" s="24"/>
      <c r="E74" s="24"/>
      <c r="F74" s="24"/>
      <c r="G74" s="24"/>
      <c r="H74"/>
      <c r="I74"/>
    </row>
    <row r="75" spans="1:9" x14ac:dyDescent="0.2">
      <c r="A75" s="1" t="s">
        <v>256</v>
      </c>
      <c r="B75" s="6">
        <v>3230</v>
      </c>
      <c r="C75" s="95">
        <f>'DOE25'!F126</f>
        <v>35678.25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520.57000000000005</v>
      </c>
      <c r="E77" s="95">
        <f>SUM('DOE25'!H131:H135)</f>
        <v>0</v>
      </c>
      <c r="F77" s="95">
        <f>SUM('DOE25'!I131:I135)</f>
        <v>0</v>
      </c>
      <c r="G77" s="95">
        <f>SUM('DOE25'!J131:J135)</f>
        <v>0</v>
      </c>
      <c r="H77"/>
      <c r="I77"/>
    </row>
    <row r="78" spans="1:9" ht="12.75" thickTop="1" thickBot="1" x14ac:dyDescent="0.25">
      <c r="A78" s="29" t="s">
        <v>259</v>
      </c>
      <c r="B78" s="6"/>
      <c r="C78" s="130">
        <f>SUM(C72:C77)</f>
        <v>61338.720000000001</v>
      </c>
      <c r="D78" s="130">
        <f>SUM(D72:D77)</f>
        <v>520.57000000000005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1231537.03</v>
      </c>
      <c r="D81" s="130">
        <f>SUM(D79:D80)+D78+D70</f>
        <v>520.57000000000005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3838.07</v>
      </c>
      <c r="D88" s="95">
        <f>SUM('DOE25'!G153:G161)</f>
        <v>11468.17</v>
      </c>
      <c r="E88" s="95">
        <f>SUM('DOE25'!H153:H161)</f>
        <v>45724.88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3838.07</v>
      </c>
      <c r="D91" s="131">
        <f>SUM(D85:D90)</f>
        <v>11468.17</v>
      </c>
      <c r="E91" s="131">
        <f>SUM(E85:E90)</f>
        <v>45724.88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19117.04</v>
      </c>
      <c r="E96" s="95">
        <f>'DOE25'!H179</f>
        <v>0</v>
      </c>
      <c r="F96" s="95">
        <f>'DOE25'!I179</f>
        <v>0</v>
      </c>
      <c r="G96" s="95">
        <f>'DOE25'!J179</f>
        <v>75001</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19117.04</v>
      </c>
      <c r="E103" s="86">
        <f>SUM(E93:E102)</f>
        <v>0</v>
      </c>
      <c r="F103" s="86">
        <f>SUM(F93:F102)</f>
        <v>0</v>
      </c>
      <c r="G103" s="86">
        <f>SUM(G93:G102)</f>
        <v>75001</v>
      </c>
    </row>
    <row r="104" spans="1:7" ht="12.75" thickTop="1" thickBot="1" x14ac:dyDescent="0.25">
      <c r="A104" s="33" t="s">
        <v>761</v>
      </c>
      <c r="C104" s="86">
        <f>C63+C81+C91+C103</f>
        <v>5725227.0300000003</v>
      </c>
      <c r="D104" s="86">
        <f>D63+D81+D91+D103</f>
        <v>52938.479999999996</v>
      </c>
      <c r="E104" s="86">
        <f>E63+E81+E91+E103</f>
        <v>45724.88</v>
      </c>
      <c r="F104" s="86">
        <f>F63+F81+F91+F103</f>
        <v>0</v>
      </c>
      <c r="G104" s="86">
        <f>G63+G81+G103</f>
        <v>78055.679999999993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2892605.4400000004</v>
      </c>
      <c r="D109" s="24" t="s">
        <v>288</v>
      </c>
      <c r="E109" s="95">
        <f>('DOE25'!L276)+('DOE25'!L295)+('DOE25'!L314)</f>
        <v>0</v>
      </c>
      <c r="F109" s="24" t="s">
        <v>288</v>
      </c>
      <c r="G109" s="24" t="s">
        <v>288</v>
      </c>
    </row>
    <row r="110" spans="1:7" x14ac:dyDescent="0.2">
      <c r="A110" t="s">
        <v>198</v>
      </c>
      <c r="B110" s="32" t="s">
        <v>199</v>
      </c>
      <c r="C110" s="95">
        <f>('DOE25'!L198)+('DOE25'!L216)+('DOE25'!L234)</f>
        <v>920569.69</v>
      </c>
      <c r="D110" s="24" t="s">
        <v>288</v>
      </c>
      <c r="E110" s="95">
        <f>('DOE25'!L277)+('DOE25'!L296)+('DOE25'!L315)</f>
        <v>6043.17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3813175.1300000004</v>
      </c>
      <c r="D115" s="86">
        <f>SUM(D109:D114)</f>
        <v>0</v>
      </c>
      <c r="E115" s="86">
        <f>SUM(E109:E114)</f>
        <v>6043.17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346103.8</v>
      </c>
      <c r="D118" s="24" t="s">
        <v>288</v>
      </c>
      <c r="E118" s="95">
        <f>+('DOE25'!L281)+('DOE25'!L300)+('DOE25'!L319)</f>
        <v>29042.15</v>
      </c>
      <c r="F118" s="24" t="s">
        <v>288</v>
      </c>
      <c r="G118" s="24" t="s">
        <v>288</v>
      </c>
    </row>
    <row r="119" spans="1:7" x14ac:dyDescent="0.2">
      <c r="A119" t="s">
        <v>208</v>
      </c>
      <c r="B119" s="32" t="s">
        <v>209</v>
      </c>
      <c r="C119" s="95">
        <f>('DOE25'!L203)+('DOE25'!L221)+('DOE25'!L239)</f>
        <v>58443.81</v>
      </c>
      <c r="D119" s="24" t="s">
        <v>288</v>
      </c>
      <c r="E119" s="95">
        <f>+('DOE25'!L282)+('DOE25'!L301)+('DOE25'!L320)</f>
        <v>8723.8799999999992</v>
      </c>
      <c r="F119" s="24" t="s">
        <v>288</v>
      </c>
      <c r="G119" s="24" t="s">
        <v>288</v>
      </c>
    </row>
    <row r="120" spans="1:7" x14ac:dyDescent="0.2">
      <c r="A120" t="s">
        <v>210</v>
      </c>
      <c r="B120" s="32" t="s">
        <v>211</v>
      </c>
      <c r="C120" s="95">
        <f>('DOE25'!L204)+('DOE25'!L222)+('DOE25'!L240)</f>
        <v>224114.40999999997</v>
      </c>
      <c r="D120" s="24" t="s">
        <v>288</v>
      </c>
      <c r="E120" s="95">
        <f>+('DOE25'!L283)+('DOE25'!L302)+('DOE25'!L321)</f>
        <v>0</v>
      </c>
      <c r="F120" s="24" t="s">
        <v>288</v>
      </c>
      <c r="G120" s="24" t="s">
        <v>288</v>
      </c>
    </row>
    <row r="121" spans="1:7" x14ac:dyDescent="0.2">
      <c r="A121" t="s">
        <v>212</v>
      </c>
      <c r="B121" s="32" t="s">
        <v>213</v>
      </c>
      <c r="C121" s="95">
        <f>('DOE25'!L205)+('DOE25'!L223)+('DOE25'!L241)</f>
        <v>198119.33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1915.6799999999998</v>
      </c>
      <c r="F122" s="24" t="s">
        <v>288</v>
      </c>
      <c r="G122" s="24" t="s">
        <v>288</v>
      </c>
    </row>
    <row r="123" spans="1:7" x14ac:dyDescent="0.2">
      <c r="A123" t="s">
        <v>216</v>
      </c>
      <c r="B123" s="32" t="s">
        <v>217</v>
      </c>
      <c r="C123" s="95">
        <f>('DOE25'!L207)+('DOE25'!L225)+('DOE25'!L243)</f>
        <v>510604.39</v>
      </c>
      <c r="D123" s="24" t="s">
        <v>288</v>
      </c>
      <c r="E123" s="95">
        <f>+('DOE25'!L286)+('DOE25'!L305)+('DOE25'!L324)</f>
        <v>0</v>
      </c>
      <c r="F123" s="24" t="s">
        <v>288</v>
      </c>
      <c r="G123" s="24" t="s">
        <v>288</v>
      </c>
    </row>
    <row r="124" spans="1:7" x14ac:dyDescent="0.2">
      <c r="A124" t="s">
        <v>218</v>
      </c>
      <c r="B124" s="32" t="s">
        <v>219</v>
      </c>
      <c r="C124" s="95">
        <f>('DOE25'!L208)+('DOE25'!L226)+('DOE25'!L244+'DOE25'!L254)</f>
        <v>290381.63</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52938.479999999996</v>
      </c>
      <c r="E127" s="24" t="s">
        <v>288</v>
      </c>
      <c r="F127" s="24" t="s">
        <v>288</v>
      </c>
      <c r="G127" s="24" t="s">
        <v>288</v>
      </c>
    </row>
    <row r="128" spans="1:7" ht="12.75" thickTop="1" thickBot="1" x14ac:dyDescent="0.25">
      <c r="A128" s="33" t="s">
        <v>226</v>
      </c>
      <c r="C128" s="86">
        <f>SUM(C118:C127)</f>
        <v>1627767.37</v>
      </c>
      <c r="D128" s="86">
        <f>SUM(D118:D127)</f>
        <v>52938.479999999996</v>
      </c>
      <c r="E128" s="86">
        <f>SUM(E118:E127)</f>
        <v>39681.71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19117.04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78055.679999999993</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-3054.679999999993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94118.040000000008</v>
      </c>
      <c r="D144" s="141">
        <f>SUM(D130:D143)</f>
        <v>0</v>
      </c>
      <c r="E144" s="141">
        <f>SUM(E130:E143)</f>
        <v>0</v>
      </c>
      <c r="F144" s="141">
        <f>SUM(F130:F143)</f>
        <v>0</v>
      </c>
      <c r="G144" s="141">
        <f>SUM(G130:G143)</f>
        <v>0</v>
      </c>
    </row>
    <row r="145" spans="1:9" ht="12.75" thickTop="1" thickBot="1" x14ac:dyDescent="0.25">
      <c r="A145" s="33" t="s">
        <v>244</v>
      </c>
      <c r="C145" s="86">
        <f>(C115+C128+C144)</f>
        <v>5535060.54</v>
      </c>
      <c r="D145" s="86">
        <f>(D115+D128+D144)</f>
        <v>52938.479999999996</v>
      </c>
      <c r="E145" s="86">
        <f>(E115+E128+E144)</f>
        <v>45724.88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t="str">
        <f>'DOE25'!F491</f>
        <v>0</v>
      </c>
      <c r="C152" s="152" t="str">
        <f>'DOE25'!G491</f>
        <v>0</v>
      </c>
      <c r="D152" s="152">
        <f>'DOE25'!H491</f>
        <v>0</v>
      </c>
      <c r="E152" s="152">
        <f>'DOE25'!I491</f>
        <v>0</v>
      </c>
      <c r="F152" s="152">
        <f>'DOE25'!J491</f>
        <v>0</v>
      </c>
      <c r="G152" s="24" t="s">
        <v>288</v>
      </c>
    </row>
    <row r="153" spans="1:9" x14ac:dyDescent="0.2">
      <c r="A153" s="136" t="s">
        <v>29</v>
      </c>
      <c r="B153" s="152" t="str">
        <f>'DOE25'!F492</f>
        <v>0</v>
      </c>
      <c r="C153" s="152" t="str">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Rollinsford School District</v>
      </c>
    </row>
    <row r="3" spans="1:4" x14ac:dyDescent="0.2">
      <c r="B3" s="188" t="s">
        <v>1602</v>
      </c>
    </row>
    <row r="4" spans="1:4" x14ac:dyDescent="0.2">
      <c r="B4" t="s">
        <v>61</v>
      </c>
      <c r="C4" s="179">
        <f>IF('DOE25'!F665+'DOE25'!F670=0,0,ROUND('DOE25'!F672,0))</f>
        <v>19950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19950</v>
      </c>
    </row>
    <row r="9" spans="1:4" x14ac:dyDescent="0.2">
      <c r="A9" s="187" t="s">
        <v>94</v>
      </c>
      <c r="B9" s="188" t="s">
        <v>1603</v>
      </c>
      <c r="C9" s="181" t="s">
        <v>720</v>
      </c>
      <c r="D9" s="181" t="s">
        <v>721</v>
      </c>
    </row>
    <row r="10" spans="1:4" x14ac:dyDescent="0.2">
      <c r="A10">
        <v>1100</v>
      </c>
      <c r="B10" t="s">
        <v>702</v>
      </c>
      <c r="C10" s="179">
        <f>ROUND('DOE25'!L197+'DOE25'!L215+'DOE25'!L233+'DOE25'!L276+'DOE25'!L295+'DOE25'!L314,0)</f>
        <v>2892605</v>
      </c>
      <c r="D10" s="182">
        <f>ROUND((C10/$C$28)*100,1)</f>
        <v>52.4</v>
      </c>
    </row>
    <row r="11" spans="1:4" x14ac:dyDescent="0.2">
      <c r="A11">
        <v>1200</v>
      </c>
      <c r="B11" t="s">
        <v>703</v>
      </c>
      <c r="C11" s="179">
        <f>ROUND('DOE25'!L198+'DOE25'!L216+'DOE25'!L234+'DOE25'!L277+'DOE25'!L296+'DOE25'!L315,0)</f>
        <v>926613</v>
      </c>
      <c r="D11" s="182">
        <f>ROUND((C11/$C$28)*100,1)</f>
        <v>16.8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375146</v>
      </c>
      <c r="D15" s="182">
        <f t="shared" ref="D15:D27" si="0">ROUND((C15/$C$28)*100,1)</f>
        <v>6.8</v>
      </c>
    </row>
    <row r="16" spans="1:4" x14ac:dyDescent="0.2">
      <c r="A16">
        <v>2200</v>
      </c>
      <c r="B16" t="s">
        <v>707</v>
      </c>
      <c r="C16" s="179">
        <f>ROUND('DOE25'!L203+'DOE25'!L221+'DOE25'!L239+'DOE25'!L282+'DOE25'!L301+'DOE25'!L320,0)</f>
        <v>67168</v>
      </c>
      <c r="D16" s="182">
        <f t="shared" si="0"/>
        <v>1.2</v>
      </c>
    </row>
    <row r="17" spans="1:4" x14ac:dyDescent="0.2">
      <c r="A17" s="183" t="s">
        <v>723</v>
      </c>
      <c r="B17" t="s">
        <v>738</v>
      </c>
      <c r="C17" s="179">
        <f>ROUND('DOE25'!L204+'DOE25'!L209+'DOE25'!L222+'DOE25'!L227+'DOE25'!L240+'DOE25'!L245+'DOE25'!L283+'DOE25'!L288+'DOE25'!L302+'DOE25'!L307+'DOE25'!L321+'DOE25'!L326,0)</f>
        <v>224114</v>
      </c>
      <c r="D17" s="182">
        <f t="shared" si="0"/>
        <v>4.0999999999999996</v>
      </c>
    </row>
    <row r="18" spans="1:4" x14ac:dyDescent="0.2">
      <c r="A18">
        <v>2400</v>
      </c>
      <c r="B18" t="s">
        <v>711</v>
      </c>
      <c r="C18" s="179">
        <f>ROUND('DOE25'!L205+'DOE25'!L223+'DOE25'!L241+'DOE25'!L284+'DOE25'!L303+'DOE25'!L322,0)</f>
        <v>198119</v>
      </c>
      <c r="D18" s="182">
        <f t="shared" si="0"/>
        <v>3.6</v>
      </c>
    </row>
    <row r="19" spans="1:4" x14ac:dyDescent="0.2">
      <c r="A19">
        <v>2500</v>
      </c>
      <c r="B19" t="s">
        <v>708</v>
      </c>
      <c r="C19" s="179">
        <f>ROUND('DOE25'!L206+'DOE25'!L224+'DOE25'!L242+'DOE25'!L285+'DOE25'!L304+'DOE25'!L323,0)</f>
        <v>1916</v>
      </c>
      <c r="D19" s="182">
        <f t="shared" si="0"/>
        <v>0</v>
      </c>
    </row>
    <row r="20" spans="1:4" x14ac:dyDescent="0.2">
      <c r="A20">
        <v>2600</v>
      </c>
      <c r="B20" t="s">
        <v>709</v>
      </c>
      <c r="C20" s="179">
        <f>ROUND('DOE25'!L207+'DOE25'!L225+'DOE25'!L243+'DOE25'!L286+'DOE25'!L305+'DOE25'!L324,0)</f>
        <v>510604</v>
      </c>
      <c r="D20" s="182">
        <f t="shared" si="0"/>
        <v>9.3000000000000007</v>
      </c>
    </row>
    <row r="21" spans="1:4" x14ac:dyDescent="0.2">
      <c r="A21">
        <v>2700</v>
      </c>
      <c r="B21" t="s">
        <v>710</v>
      </c>
      <c r="C21" s="179">
        <f>ROUND('DOE25'!L208+'DOE25'!L226+'DOE25'!L244+'DOE25'!L287+'DOE25'!L306+'DOE25'!L325,0)</f>
        <v>290382</v>
      </c>
      <c r="D21" s="182">
        <f t="shared" si="0"/>
        <v>5.3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31105.300000000003</v>
      </c>
      <c r="D27" s="182">
        <f t="shared" si="0"/>
        <v>0.6</v>
      </c>
    </row>
    <row r="28" spans="1:4" x14ac:dyDescent="0.2">
      <c r="B28" s="187" t="s">
        <v>719</v>
      </c>
      <c r="C28" s="180">
        <f>SUM(C10:C27)</f>
        <v>5517772.2999999998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5517772.2999999998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4434240</v>
      </c>
      <c r="D35" s="182">
        <f t="shared" ref="D35:D40" si="1">ROUND((C35/$C$41)*100,1)</f>
        <v>76.599999999999994</v>
      </c>
    </row>
    <row r="36" spans="1:4" x14ac:dyDescent="0.2">
      <c r="B36" s="185" t="s">
        <v>739</v>
      </c>
      <c r="C36" s="179">
        <f>SUM('DOE25'!F112:J112)-SUM('DOE25'!G97:G110)+('DOE25'!F174+'DOE25'!F175+'DOE25'!I174+'DOE25'!I175)-C35</f>
        <v>58666.609999999404</v>
      </c>
      <c r="D36" s="182">
        <f t="shared" si="1"/>
        <v>1</v>
      </c>
    </row>
    <row r="37" spans="1:4" x14ac:dyDescent="0.2">
      <c r="A37" s="183" t="s">
        <v>835</v>
      </c>
      <c r="B37" s="185" t="s">
        <v>728</v>
      </c>
      <c r="C37" s="179">
        <f>ROUND('DOE25'!F117+'DOE25'!F118,0)</f>
        <v>1168242</v>
      </c>
      <c r="D37" s="182">
        <f t="shared" si="1"/>
        <v>20.2</v>
      </c>
    </row>
    <row r="38" spans="1:4" x14ac:dyDescent="0.2">
      <c r="A38" s="183" t="s">
        <v>734</v>
      </c>
      <c r="B38" s="185" t="s">
        <v>729</v>
      </c>
      <c r="C38" s="179">
        <f>ROUND(SUM('DOE25'!F140:J140)-SUM('DOE25'!F117:F119),0)</f>
        <v>63815</v>
      </c>
      <c r="D38" s="182">
        <f t="shared" si="1"/>
        <v>1.1000000000000001</v>
      </c>
    </row>
    <row r="39" spans="1:4" x14ac:dyDescent="0.2">
      <c r="A39">
        <v>4000</v>
      </c>
      <c r="B39" s="185" t="s">
        <v>730</v>
      </c>
      <c r="C39" s="179">
        <f>ROUND('DOE25'!F169+'DOE25'!G169+'DOE25'!H169+'DOE25'!I169,0)</f>
        <v>61031</v>
      </c>
      <c r="D39" s="182">
        <f t="shared" si="1"/>
        <v>1.1000000000000001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5785994.6099999994</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Rollinsford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2019-08-26T18:58:37Z</cp:lastPrinted>
  <dcterms:created xsi:type="dcterms:W3CDTF">1997-12-04T19:04:30Z</dcterms:created>
  <dcterms:modified xsi:type="dcterms:W3CDTF">2019-11-22T14:34:39Z</dcterms:modified>
</cp:coreProperties>
</file>