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19" i="12" l="1"/>
  <c r="C20" i="12"/>
  <c r="B20" i="12"/>
  <c r="B19" i="12"/>
  <c r="B11" i="12"/>
  <c r="B10" i="12"/>
  <c r="B12" i="12"/>
  <c r="J604" i="1" l="1"/>
  <c r="H604" i="1"/>
  <c r="J592" i="1"/>
  <c r="G97" i="1"/>
  <c r="H579" i="1"/>
  <c r="F110" i="1" l="1"/>
  <c r="F57" i="1"/>
  <c r="F28" i="1"/>
  <c r="H13" i="1" l="1"/>
  <c r="H186" i="1"/>
  <c r="F298" i="1"/>
  <c r="H320" i="1"/>
  <c r="J317" i="1"/>
  <c r="I317" i="1"/>
  <c r="G317" i="1"/>
  <c r="F317" i="1"/>
  <c r="G9"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E119" i="2" s="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C113" i="2" s="1"/>
  <c r="L332" i="1"/>
  <c r="L254" i="1"/>
  <c r="L268" i="1"/>
  <c r="C26" i="10" s="1"/>
  <c r="L269" i="1"/>
  <c r="L349" i="1"/>
  <c r="L350" i="1"/>
  <c r="I665" i="1"/>
  <c r="I670"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E103" i="2" s="1"/>
  <c r="F100" i="2"/>
  <c r="C101" i="2"/>
  <c r="D101" i="2"/>
  <c r="E101" i="2"/>
  <c r="F101" i="2"/>
  <c r="C102" i="2"/>
  <c r="D102" i="2"/>
  <c r="E102" i="2"/>
  <c r="F102" i="2"/>
  <c r="E110" i="2"/>
  <c r="E111" i="2"/>
  <c r="C112" i="2"/>
  <c r="E112" i="2"/>
  <c r="E113" i="2"/>
  <c r="C114" i="2"/>
  <c r="D115" i="2"/>
  <c r="F115" i="2"/>
  <c r="G115"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G32" i="1"/>
  <c r="H32" i="1"/>
  <c r="I32" i="1"/>
  <c r="H617" i="1"/>
  <c r="G52" i="1"/>
  <c r="H618" i="1" s="1"/>
  <c r="H51" i="1"/>
  <c r="I51" i="1"/>
  <c r="I52" i="1" s="1"/>
  <c r="H620" i="1" s="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L270"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F408" i="1" s="1"/>
  <c r="H643" i="1" s="1"/>
  <c r="J643" i="1" s="1"/>
  <c r="G401" i="1"/>
  <c r="G408" i="1" s="1"/>
  <c r="H645" i="1" s="1"/>
  <c r="H401" i="1"/>
  <c r="H408" i="1" s="1"/>
  <c r="H644" i="1" s="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F461" i="1" s="1"/>
  <c r="H639" i="1" s="1"/>
  <c r="G460" i="1"/>
  <c r="H460" i="1"/>
  <c r="G461" i="1"/>
  <c r="H461" i="1"/>
  <c r="F470" i="1"/>
  <c r="F476" i="1" s="1"/>
  <c r="H622" i="1" s="1"/>
  <c r="G470" i="1"/>
  <c r="H470" i="1"/>
  <c r="I470" i="1"/>
  <c r="J470" i="1"/>
  <c r="J476" i="1" s="1"/>
  <c r="H626" i="1" s="1"/>
  <c r="F474" i="1"/>
  <c r="G474" i="1"/>
  <c r="H474" i="1"/>
  <c r="H476" i="1" s="1"/>
  <c r="H624" i="1" s="1"/>
  <c r="J624" i="1" s="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19" i="1"/>
  <c r="G620" i="1"/>
  <c r="G622" i="1"/>
  <c r="G623" i="1"/>
  <c r="G624" i="1"/>
  <c r="G625" i="1"/>
  <c r="H627" i="1"/>
  <c r="H628" i="1"/>
  <c r="H629" i="1"/>
  <c r="H630" i="1"/>
  <c r="H631" i="1"/>
  <c r="H632" i="1"/>
  <c r="H633" i="1"/>
  <c r="H635" i="1"/>
  <c r="H636" i="1"/>
  <c r="H637" i="1"/>
  <c r="H638" i="1"/>
  <c r="H640" i="1"/>
  <c r="G641" i="1"/>
  <c r="H641" i="1"/>
  <c r="G643" i="1"/>
  <c r="G644" i="1"/>
  <c r="H647" i="1"/>
  <c r="G650" i="1"/>
  <c r="G651" i="1"/>
  <c r="G652" i="1"/>
  <c r="H652" i="1"/>
  <c r="G653" i="1"/>
  <c r="H653" i="1"/>
  <c r="G654" i="1"/>
  <c r="H654" i="1"/>
  <c r="H655" i="1"/>
  <c r="D50" i="2"/>
  <c r="F18" i="2"/>
  <c r="D91" i="2"/>
  <c r="G62" i="2"/>
  <c r="E78" i="2"/>
  <c r="H112" i="1"/>
  <c r="J641" i="1"/>
  <c r="K605" i="1"/>
  <c r="G648" i="1" s="1"/>
  <c r="J571" i="1"/>
  <c r="L419" i="1"/>
  <c r="D81" i="2"/>
  <c r="I169" i="1"/>
  <c r="G552" i="1"/>
  <c r="G338" i="1"/>
  <c r="G352" i="1" s="1"/>
  <c r="J140" i="1"/>
  <c r="G22" i="2"/>
  <c r="H552" i="1"/>
  <c r="H140" i="1"/>
  <c r="H192" i="1"/>
  <c r="J655" i="1"/>
  <c r="J622" i="1" l="1"/>
  <c r="L614" i="1"/>
  <c r="J651" i="1"/>
  <c r="K598" i="1"/>
  <c r="G647" i="1" s="1"/>
  <c r="J647" i="1" s="1"/>
  <c r="F571" i="1"/>
  <c r="J552" i="1"/>
  <c r="I552" i="1"/>
  <c r="K545" i="1"/>
  <c r="I545" i="1"/>
  <c r="G545" i="1"/>
  <c r="J545" i="1"/>
  <c r="H545" i="1"/>
  <c r="K549" i="1"/>
  <c r="F552" i="1"/>
  <c r="C110" i="2"/>
  <c r="C18" i="10"/>
  <c r="C121" i="2"/>
  <c r="C120" i="2"/>
  <c r="L247" i="1"/>
  <c r="C119" i="2"/>
  <c r="K257" i="1"/>
  <c r="K271" i="1" s="1"/>
  <c r="L211" i="1"/>
  <c r="C13" i="10"/>
  <c r="C12" i="10"/>
  <c r="J257" i="1"/>
  <c r="J271" i="1" s="1"/>
  <c r="H257" i="1"/>
  <c r="H271" i="1" s="1"/>
  <c r="F257" i="1"/>
  <c r="F271" i="1" s="1"/>
  <c r="I257" i="1"/>
  <c r="I271" i="1" s="1"/>
  <c r="C78" i="2"/>
  <c r="C70" i="2"/>
  <c r="F112" i="1"/>
  <c r="J617" i="1"/>
  <c r="C18" i="2"/>
  <c r="H52" i="1"/>
  <c r="H619" i="1" s="1"/>
  <c r="E31" i="2"/>
  <c r="E62" i="2"/>
  <c r="E63" i="2" s="1"/>
  <c r="L328" i="1"/>
  <c r="C11" i="10"/>
  <c r="F338" i="1"/>
  <c r="F352" i="1" s="1"/>
  <c r="L290" i="1"/>
  <c r="I408" i="1"/>
  <c r="L393" i="1"/>
  <c r="C138" i="2" s="1"/>
  <c r="J644" i="1"/>
  <c r="L401" i="1"/>
  <c r="C139" i="2" s="1"/>
  <c r="G645" i="1"/>
  <c r="J645" i="1" s="1"/>
  <c r="L427" i="1"/>
  <c r="L434" i="1" s="1"/>
  <c r="G638" i="1" s="1"/>
  <c r="J638" i="1" s="1"/>
  <c r="J640" i="1"/>
  <c r="G476" i="1"/>
  <c r="H623" i="1" s="1"/>
  <c r="J623" i="1" s="1"/>
  <c r="G192" i="1"/>
  <c r="D62" i="2"/>
  <c r="D63" i="2" s="1"/>
  <c r="D31" i="2"/>
  <c r="D51" i="2" s="1"/>
  <c r="I369" i="1"/>
  <c r="H634" i="1" s="1"/>
  <c r="J634" i="1" s="1"/>
  <c r="F661" i="1"/>
  <c r="L362" i="1"/>
  <c r="C27" i="10" s="1"/>
  <c r="G661" i="1"/>
  <c r="J639" i="1"/>
  <c r="K551" i="1"/>
  <c r="I25" i="13"/>
  <c r="K550" i="1"/>
  <c r="L534" i="1"/>
  <c r="K500" i="1"/>
  <c r="I460" i="1"/>
  <c r="I452" i="1"/>
  <c r="I446" i="1"/>
  <c r="G642" i="1" s="1"/>
  <c r="H338" i="1"/>
  <c r="H352" i="1" s="1"/>
  <c r="C123" i="2"/>
  <c r="E109" i="2"/>
  <c r="E115" i="2" s="1"/>
  <c r="C56" i="2"/>
  <c r="F662" i="1"/>
  <c r="I662" i="1" s="1"/>
  <c r="C25" i="10"/>
  <c r="C21" i="10"/>
  <c r="C17" i="10"/>
  <c r="G112" i="1"/>
  <c r="D19" i="13"/>
  <c r="C19" i="13" s="1"/>
  <c r="D14" i="13"/>
  <c r="C14" i="13" s="1"/>
  <c r="C62" i="2"/>
  <c r="C63" i="2" s="1"/>
  <c r="C35" i="10"/>
  <c r="G22" i="13"/>
  <c r="C22" i="13" s="1"/>
  <c r="L539" i="1"/>
  <c r="K503" i="1"/>
  <c r="L382" i="1"/>
  <c r="G636" i="1" s="1"/>
  <c r="J636" i="1" s="1"/>
  <c r="G257" i="1"/>
  <c r="G271" i="1" s="1"/>
  <c r="C142" i="2"/>
  <c r="C111" i="2"/>
  <c r="H661" i="1"/>
  <c r="C15" i="10"/>
  <c r="A13" i="12"/>
  <c r="D29" i="13"/>
  <c r="C29" i="13" s="1"/>
  <c r="D12" i="13"/>
  <c r="C12" i="13" s="1"/>
  <c r="D5" i="13"/>
  <c r="C5" i="13" s="1"/>
  <c r="E8" i="13"/>
  <c r="C8" i="13" s="1"/>
  <c r="E128" i="2"/>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L337" i="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L571" i="1"/>
  <c r="I192" i="1"/>
  <c r="E91" i="2"/>
  <c r="E104" i="2" s="1"/>
  <c r="J654" i="1"/>
  <c r="J653" i="1"/>
  <c r="F144" i="2"/>
  <c r="F145" i="2" s="1"/>
  <c r="G21" i="2"/>
  <c r="G31" i="2" s="1"/>
  <c r="J32" i="1"/>
  <c r="J434" i="1"/>
  <c r="F434" i="1"/>
  <c r="K434" i="1"/>
  <c r="G134" i="2" s="1"/>
  <c r="G144" i="2" s="1"/>
  <c r="G145" i="2" s="1"/>
  <c r="G31" i="13"/>
  <c r="G33" i="13" s="1"/>
  <c r="J193" i="1"/>
  <c r="G646" i="1" s="1"/>
  <c r="H193" i="1"/>
  <c r="G629" i="1" s="1"/>
  <c r="J629" i="1" s="1"/>
  <c r="G169" i="1"/>
  <c r="C39" i="10" s="1"/>
  <c r="G140" i="1"/>
  <c r="F140" i="1"/>
  <c r="G63" i="2"/>
  <c r="J618" i="1"/>
  <c r="G42" i="2"/>
  <c r="J51" i="1"/>
  <c r="G16" i="2"/>
  <c r="G18" i="2" s="1"/>
  <c r="J19" i="1"/>
  <c r="G621" i="1" s="1"/>
  <c r="F545" i="1"/>
  <c r="H434" i="1"/>
  <c r="J620" i="1"/>
  <c r="J619" i="1"/>
  <c r="D103" i="2"/>
  <c r="I140" i="1"/>
  <c r="I193" i="1" s="1"/>
  <c r="G630" i="1" s="1"/>
  <c r="J630" i="1" s="1"/>
  <c r="A22" i="12"/>
  <c r="G50" i="2"/>
  <c r="J652" i="1"/>
  <c r="G571" i="1"/>
  <c r="I434" i="1"/>
  <c r="G434" i="1"/>
  <c r="I663" i="1"/>
  <c r="L545" i="1" l="1"/>
  <c r="K552" i="1"/>
  <c r="H660" i="1"/>
  <c r="H664" i="1" s="1"/>
  <c r="H667" i="1" s="1"/>
  <c r="E33" i="13"/>
  <c r="D35" i="13" s="1"/>
  <c r="C128" i="2"/>
  <c r="G4" i="14"/>
  <c r="H4" i="14" s="1"/>
  <c r="I4" i="14" s="1"/>
  <c r="L257" i="1"/>
  <c r="L271" i="1" s="1"/>
  <c r="G632" i="1" s="1"/>
  <c r="J632" i="1" s="1"/>
  <c r="G660" i="1"/>
  <c r="G664" i="1" s="1"/>
  <c r="G672" i="1" s="1"/>
  <c r="C5" i="10" s="1"/>
  <c r="C81" i="2"/>
  <c r="C104" i="2" s="1"/>
  <c r="F193" i="1"/>
  <c r="G627" i="1" s="1"/>
  <c r="J627" i="1" s="1"/>
  <c r="C36" i="10"/>
  <c r="G36" i="14"/>
  <c r="H36" i="14" s="1"/>
  <c r="I36" i="14" s="1"/>
  <c r="H648" i="1"/>
  <c r="J648" i="1" s="1"/>
  <c r="E145" i="2"/>
  <c r="L338" i="1"/>
  <c r="L352" i="1" s="1"/>
  <c r="G633" i="1" s="1"/>
  <c r="J633" i="1" s="1"/>
  <c r="F660" i="1"/>
  <c r="L408" i="1"/>
  <c r="C141" i="2"/>
  <c r="C144" i="2" s="1"/>
  <c r="G104" i="2"/>
  <c r="J642" i="1"/>
  <c r="I461" i="1"/>
  <c r="H642" i="1" s="1"/>
  <c r="D104" i="2"/>
  <c r="G635" i="1"/>
  <c r="J635" i="1" s="1"/>
  <c r="I661" i="1"/>
  <c r="C16" i="13"/>
  <c r="C25" i="13"/>
  <c r="I33" i="13"/>
  <c r="G51" i="2"/>
  <c r="D31" i="13"/>
  <c r="C31" i="13" s="1"/>
  <c r="C115" i="2"/>
  <c r="C28" i="10"/>
  <c r="D23" i="10" s="1"/>
  <c r="H24" i="14"/>
  <c r="I24" i="14" s="1"/>
  <c r="C51" i="2"/>
  <c r="G631" i="1"/>
  <c r="J631" i="1" s="1"/>
  <c r="G193" i="1"/>
  <c r="G628" i="1" s="1"/>
  <c r="J628" i="1" s="1"/>
  <c r="G626" i="1"/>
  <c r="J626" i="1" s="1"/>
  <c r="J52" i="1"/>
  <c r="H621" i="1" s="1"/>
  <c r="J621" i="1" s="1"/>
  <c r="C38" i="10"/>
  <c r="I660" i="1" l="1"/>
  <c r="I664" i="1" s="1"/>
  <c r="I672" i="1" s="1"/>
  <c r="C7" i="10" s="1"/>
  <c r="G667" i="1"/>
  <c r="C145" i="2"/>
  <c r="F664" i="1"/>
  <c r="F667" i="1" s="1"/>
  <c r="G637" i="1"/>
  <c r="J637" i="1" s="1"/>
  <c r="H646" i="1"/>
  <c r="J646" i="1" s="1"/>
  <c r="H672" i="1"/>
  <c r="C6" i="10" s="1"/>
  <c r="D25" i="10"/>
  <c r="D22" i="10"/>
  <c r="D18" i="10"/>
  <c r="D27" i="10"/>
  <c r="D15" i="10"/>
  <c r="D21" i="10"/>
  <c r="D24" i="10"/>
  <c r="D20" i="10"/>
  <c r="D11" i="10"/>
  <c r="D12" i="10"/>
  <c r="D13" i="10"/>
  <c r="D17" i="10"/>
  <c r="D19" i="10"/>
  <c r="D10" i="10"/>
  <c r="D26" i="10"/>
  <c r="C30" i="10"/>
  <c r="D16" i="10"/>
  <c r="D33" i="13"/>
  <c r="D36" i="13" s="1"/>
  <c r="C41" i="10"/>
  <c r="D38" i="10" s="1"/>
  <c r="F672" i="1" l="1"/>
  <c r="C4" i="10" s="1"/>
  <c r="H656" i="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<sst xmlns="http://schemas.openxmlformats.org/spreadsheetml/2006/main" count="5509" uniqueCount="1613">
  <si>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</si>
  <si>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</si>
  <si>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</si>
  <si>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</si>
  <si>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</si>
  <si>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</si>
  <si>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</si>
  <si>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</si>
  <si>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</si>
  <si>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</si>
  <si>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</si>
  <si>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</si>
  <si>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</si>
  <si>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</si>
  <si>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</si>
  <si>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</si>
  <si>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</si>
  <si>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</si>
  <si>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</si>
  <si>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</si>
  <si>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</si>
  <si>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</si>
  <si>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</si>
  <si>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</si>
  <si>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</si>
  <si>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</si>
  <si>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</si>
  <si>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</si>
  <si>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</si>
  <si>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</si>
  <si>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</si>
  <si>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</si>
  <si>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</si>
  <si>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</si>
  <si>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</si>
  <si>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</si>
  <si>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</si>
  <si>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</si>
  <si>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</si>
  <si>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</si>
  <si>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</si>
  <si>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</si>
  <si>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</si>
  <si>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</si>
  <si>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</si>
  <si>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</si>
  <si>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</si>
  <si>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</si>
  <si>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</si>
  <si>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</si>
  <si>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</si>
  <si>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</si>
  <si>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</si>
  <si>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</si>
  <si>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</si>
  <si>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</si>
  <si>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</si>
  <si>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</si>
  <si>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</si>
  <si>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</si>
  <si>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</si>
  <si>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</si>
  <si>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</si>
  <si>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</si>
  <si>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</si>
  <si>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</si>
  <si>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</si>
  <si>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</si>
  <si>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</si>
  <si>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</si>
  <si>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</si>
  <si>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</si>
  <si>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</si>
  <si>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</si>
  <si>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</si>
  <si>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</si>
  <si>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</si>
  <si>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</si>
  <si>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</si>
  <si>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</si>
  <si>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</si>
  <si>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</si>
  <si>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</si>
  <si>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</si>
  <si>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</si>
  <si>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</si>
  <si>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</si>
  <si>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</si>
  <si>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</si>
  <si>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</si>
  <si>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</si>
  <si>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</si>
  <si>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</si>
  <si>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</si>
  <si>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</si>
  <si>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</si>
  <si>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</si>
  <si>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</si>
  <si>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</si>
  <si>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</si>
  <si>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</si>
  <si>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</si>
  <si>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</si>
  <si>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</si>
  <si>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</si>
  <si>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</si>
  <si>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</si>
  <si>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</si>
  <si>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</si>
  <si>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</si>
  <si>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</si>
  <si>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</si>
  <si>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</si>
  <si>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</si>
  <si>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</si>
  <si>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</si>
  <si>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</si>
  <si>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</si>
  <si>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</si>
  <si>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</si>
  <si>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</si>
  <si>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</si>
  <si>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</si>
  <si>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</si>
  <si>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</si>
  <si>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</si>
  <si>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</si>
  <si>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</si>
  <si>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</si>
  <si>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</si>
  <si>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</si>
  <si>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</si>
  <si>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</si>
  <si>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</si>
  <si>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</si>
  <si>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</si>
  <si>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</si>
  <si>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</si>
  <si>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</si>
  <si>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</si>
  <si>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</si>
  <si>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</si>
  <si>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</si>
  <si>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</si>
  <si>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</si>
  <si>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</si>
  <si>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</si>
  <si>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</si>
  <si>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</si>
  <si>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</si>
  <si>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</si>
  <si>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</si>
  <si>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</si>
  <si>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</si>
  <si>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</si>
  <si>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</si>
  <si>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</si>
  <si>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</si>
  <si>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</si>
  <si>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</si>
  <si>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</si>
  <si>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</si>
  <si>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</si>
  <si>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</si>
  <si>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</si>
  <si>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</si>
  <si>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</si>
  <si>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</si>
  <si>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</si>
  <si>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</si>
  <si>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</si>
  <si>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</si>
  <si>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</si>
  <si>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</si>
  <si>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</si>
  <si>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</si>
  <si>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</si>
  <si>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</si>
  <si>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</si>
  <si>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</si>
  <si>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</si>
  <si>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</si>
  <si>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</si>
  <si>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</si>
  <si>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</si>
  <si>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</si>
  <si>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</si>
  <si>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</si>
  <si>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</si>
  <si>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</si>
  <si>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</si>
  <si>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</si>
  <si>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</si>
  <si>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</si>
  <si>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</si>
  <si>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</si>
  <si>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</si>
  <si>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</si>
  <si>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</si>
  <si>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</si>
  <si>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</si>
  <si>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</si>
  <si>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</si>
  <si>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</si>
  <si>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</si>
  <si>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</si>
  <si>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</si>
  <si>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</si>
  <si>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</si>
  <si>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</si>
  <si>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</si>
  <si>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</si>
  <si>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</si>
  <si>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</si>
  <si>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</si>
  <si>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</si>
  <si>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</si>
  <si>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</si>
  <si>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</si>
  <si>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</si>
  <si>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</si>
  <si>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</si>
  <si>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</si>
  <si>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</si>
  <si>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</si>
  <si>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</si>
  <si>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</si>
  <si>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</si>
  <si>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</si>
  <si>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</si>
  <si>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</si>
  <si>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</si>
  <si>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</si>
  <si>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</si>
  <si>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</si>
  <si>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</si>
  <si>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</si>
  <si>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</si>
  <si>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</si>
  <si>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</si>
  <si>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</si>
  <si>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</si>
  <si>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</si>
  <si>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</si>
  <si>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</si>
  <si>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</si>
  <si>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</si>
  <si>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</si>
  <si>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</si>
  <si>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</si>
  <si>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</si>
  <si>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</si>
  <si>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</si>
  <si>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</si>
  <si>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</si>
  <si>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</si>
  <si>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</si>
  <si>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</si>
  <si>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</si>
  <si>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</si>
  <si>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</si>
  <si>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</si>
  <si>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</si>
  <si>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</si>
  <si>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</si>
  <si>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</si>
  <si>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</si>
  <si>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</si>
  <si>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</si>
  <si>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</si>
  <si>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</si>
  <si>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</si>
  <si>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</si>
  <si>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</si>
  <si>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</si>
  <si>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</si>
  <si>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</si>
  <si>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</si>
  <si>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</si>
  <si>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</si>
  <si>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</si>
  <si>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</si>
  <si>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</si>
  <si>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</si>
  <si>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</si>
  <si>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</si>
  <si>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</si>
  <si>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</si>
  <si>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</si>
  <si>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</si>
  <si>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</si>
  <si>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</si>
  <si>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</si>
  <si>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</si>
  <si>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</si>
  <si>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</si>
  <si>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</si>
  <si>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</si>
  <si>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</si>
  <si>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</si>
  <si>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</si>
  <si>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</si>
  <si>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</si>
  <si>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</si>
  <si>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</si>
  <si>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</si>
  <si>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</si>
  <si>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</si>
  <si>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</si>
  <si>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</si>
  <si>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</si>
  <si>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</si>
  <si>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</si>
  <si>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</si>
  <si>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</si>
  <si>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</si>
  <si>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</si>
  <si>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</si>
  <si>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</si>
  <si>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</si>
  <si>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</si>
  <si>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</si>
  <si>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</si>
  <si>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</si>
  <si>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</si>
  <si>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</si>
  <si>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</si>
  <si>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</si>
  <si>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</si>
  <si>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</si>
  <si>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</si>
  <si>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</si>
  <si>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</si>
  <si>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</si>
  <si>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</si>
  <si>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</si>
  <si>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</si>
  <si>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</si>
  <si>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</si>
  <si>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</si>
  <si>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</si>
  <si>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</si>
  <si>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</si>
  <si>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</si>
  <si>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</si>
  <si>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</si>
  <si>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</si>
  <si>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</si>
  <si>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</si>
  <si>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</si>
  <si>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</si>
  <si>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</si>
  <si>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</si>
  <si>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</si>
  <si>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</si>
  <si>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</si>
  <si>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</si>
  <si>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</si>
  <si>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</si>
  <si>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</si>
  <si>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</si>
  <si>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</si>
  <si>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</si>
  <si>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</si>
  <si>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</si>
  <si>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</si>
  <si>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</si>
  <si>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</si>
  <si>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</si>
  <si>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</si>
  <si>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</si>
  <si>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</si>
  <si>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</si>
  <si>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</si>
  <si>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</si>
  <si>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</si>
  <si>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</si>
  <si>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</si>
  <si>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</si>
  <si>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</si>
  <si>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</si>
  <si>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</si>
  <si>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</si>
  <si>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</si>
  <si>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</si>
  <si>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</si>
  <si>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</si>
  <si>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</si>
  <si>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</si>
  <si>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</si>
  <si>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</si>
  <si>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</si>
  <si>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</si>
  <si>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</si>
  <si>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</si>
  <si>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</si>
  <si>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</si>
  <si>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</si>
  <si>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</si>
  <si>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</si>
  <si>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</si>
  <si>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</si>
  <si>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</si>
  <si>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</si>
  <si>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</si>
  <si>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</si>
  <si>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</si>
  <si>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</si>
  <si>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</si>
  <si>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</si>
  <si>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</si>
  <si>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</si>
  <si>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</si>
  <si>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</si>
  <si>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</si>
  <si>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</si>
  <si>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</si>
  <si>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</si>
  <si>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</si>
  <si>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</si>
  <si>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</si>
  <si>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</si>
  <si>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</si>
  <si>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</si>
  <si>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</si>
  <si>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</si>
  <si>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</si>
  <si>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</si>
  <si>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</si>
  <si>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</si>
  <si>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</si>
  <si>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</si>
  <si>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</si>
  <si>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</si>
  <si>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</si>
  <si>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</si>
  <si>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</si>
  <si>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</si>
  <si>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</si>
  <si>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</si>
  <si>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</si>
  <si>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</si>
  <si>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</si>
  <si>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</si>
  <si>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</si>
  <si>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</si>
  <si>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</si>
  <si>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</si>
  <si>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</si>
  <si>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</si>
  <si>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</si>
  <si>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</si>
  <si>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</si>
  <si>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</si>
  <si>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</si>
  <si>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</si>
  <si>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</si>
  <si>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</si>
  <si>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</si>
  <si>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</si>
  <si>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</si>
  <si>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</si>
  <si>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</si>
  <si>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</si>
  <si>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</si>
  <si>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</si>
  <si>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</si>
  <si>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</si>
  <si>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</si>
  <si>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</si>
  <si>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</si>
  <si>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</si>
  <si>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</si>
  <si>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</si>
  <si>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</si>
  <si>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</si>
  <si>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</si>
  <si>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</si>
  <si>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</si>
  <si>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</si>
  <si>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</si>
  <si>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</si>
  <si>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</si>
  <si>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</si>
  <si>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</si>
  <si>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</si>
  <si>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</si>
  <si>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</si>
  <si>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</si>
  <si>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</si>
  <si>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</si>
  <si>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</si>
  <si>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</si>
  <si>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</si>
  <si>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</si>
  <si>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</si>
  <si>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</si>
  <si>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</si>
  <si>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</si>
  <si>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</si>
  <si>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</si>
  <si>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</si>
  <si>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</si>
  <si>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</si>
  <si>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</si>
  <si>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</si>
  <si>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</si>
  <si>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</si>
  <si>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</si>
  <si>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</si>
  <si>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</si>
  <si>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</si>
  <si>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</si>
  <si>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</si>
  <si>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</si>
  <si>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</si>
  <si>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</si>
  <si>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</si>
  <si>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</si>
  <si>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</si>
  <si>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</si>
  <si>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</si>
  <si>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</si>
  <si>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</si>
  <si>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</si>
  <si>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</si>
  <si>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</si>
  <si>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</si>
  <si>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</si>
  <si>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</si>
  <si>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</si>
  <si>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</si>
  <si>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</si>
  <si>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</si>
  <si>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</si>
  <si>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</si>
  <si>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</si>
  <si>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</si>
  <si>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</si>
  <si>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</si>
  <si>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</si>
  <si>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</si>
  <si>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</si>
  <si>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</si>
  <si>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</si>
  <si>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</si>
  <si>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</si>
  <si>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</si>
  <si>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</si>
  <si>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</si>
  <si>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</si>
  <si>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</si>
  <si>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</si>
  <si>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</si>
  <si>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</si>
  <si>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</si>
  <si>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</si>
  <si>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</si>
  <si>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</si>
  <si>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</si>
  <si>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</si>
  <si>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</si>
  <si>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</si>
  <si>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</si>
  <si>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</si>
  <si>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</si>
  <si>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</si>
  <si>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</si>
  <si>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</si>
  <si>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</si>
  <si>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</si>
  <si>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</si>
  <si>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</si>
  <si>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</si>
  <si>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</si>
  <si>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</si>
  <si>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</si>
  <si>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</si>
  <si>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</si>
  <si>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</si>
  <si>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</si>
  <si>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</si>
  <si>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</si>
  <si>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</si>
  <si>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</si>
  <si>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</si>
  <si>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</si>
  <si>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</si>
  <si>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</si>
  <si>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</si>
  <si>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</si>
  <si>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</si>
  <si>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</si>
  <si>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</si>
  <si>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</si>
  <si>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</si>
  <si>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</si>
  <si>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</si>
  <si>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</si>
  <si>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</si>
  <si>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</si>
  <si>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</si>
  <si>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</si>
  <si>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</si>
  <si>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</si>
  <si>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</si>
  <si>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</si>
  <si>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</si>
  <si>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</si>
  <si>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</si>
  <si>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</si>
  <si>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</si>
  <si>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</si>
  <si>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</si>
  <si>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</si>
  <si>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</si>
  <si>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</si>
  <si>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</si>
  <si>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</si>
  <si>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</si>
  <si>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</si>
  <si>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</si>
  <si>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</si>
  <si>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</si>
  <si>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</si>
  <si>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</si>
  <si>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</si>
  <si>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</si>
  <si>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</si>
  <si>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</si>
  <si>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</si>
  <si>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</si>
  <si>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</si>
  <si>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</si>
  <si>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</si>
  <si>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</si>
  <si>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</si>
  <si>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</si>
  <si>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</si>
  <si>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</si>
  <si>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</si>
  <si>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</si>
  <si>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</si>
  <si>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</si>
  <si>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</si>
  <si>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</si>
  <si>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</si>
  <si>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</si>
  <si>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</si>
  <si>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</si>
  <si>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</si>
  <si>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</si>
  <si>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</si>
  <si>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</si>
  <si>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</si>
  <si>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</si>
  <si>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</si>
  <si>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</si>
  <si>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</si>
  <si>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</si>
  <si>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</si>
  <si>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</si>
  <si>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</si>
  <si>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</si>
  <si>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</si>
  <si>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</si>
  <si>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</si>
  <si>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</si>
  <si>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</si>
  <si>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</si>
  <si>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</si>
  <si>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</si>
  <si>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</si>
  <si>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</si>
  <si>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</si>
  <si>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</si>
  <si>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</si>
  <si>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</si>
  <si>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</si>
  <si>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</si>
  <si>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</si>
  <si>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</si>
  <si>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</si>
  <si>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</si>
  <si>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</si>
  <si>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</si>
  <si>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</si>
  <si>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</si>
  <si>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</si>
  <si>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</si>
  <si>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</si>
  <si>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</si>
  <si>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</si>
  <si>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</si>
  <si>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</si>
  <si>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</si>
  <si>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</si>
  <si>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</si>
  <si>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</si>
  <si>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</si>
  <si>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</si>
  <si>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</si>
  <si>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</si>
  <si>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</si>
  <si>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</si>
  <si>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</si>
  <si>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</si>
  <si>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</si>
  <si>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</si>
  <si>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</si>
  <si>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</si>
  <si>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</si>
  <si>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</si>
  <si>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</si>
  <si>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</si>
  <si>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</si>
  <si>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</si>
  <si>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</si>
  <si>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</si>
  <si>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</si>
  <si>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</si>
  <si>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</si>
  <si>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</si>
  <si>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</si>
  <si>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</si>
  <si>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</si>
  <si>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</si>
  <si>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</si>
  <si>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</si>
  <si>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</si>
  <si>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</si>
  <si>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</si>
  <si>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</si>
  <si>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</si>
  <si>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</si>
  <si>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</si>
  <si>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</si>
  <si>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</si>
  <si>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</si>
  <si>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</si>
  <si>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</si>
  <si>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</si>
  <si>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</si>
  <si>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</si>
  <si>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</si>
  <si>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</si>
  <si>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</si>
  <si>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</si>
  <si>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</si>
  <si>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</si>
  <si>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</si>
  <si>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</si>
  <si>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</si>
  <si>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</si>
  <si>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</si>
  <si>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</si>
  <si>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</si>
  <si>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</si>
  <si>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</si>
  <si>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</si>
  <si>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</si>
  <si>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</si>
  <si>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</si>
  <si>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</si>
  <si>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</si>
  <si>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</si>
  <si>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</si>
  <si>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</si>
  <si>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</si>
  <si>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</si>
  <si>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</si>
  <si>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</si>
  <si>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</si>
  <si>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</si>
  <si>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</si>
  <si>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</si>
  <si>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</si>
  <si>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</si>
  <si>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</si>
  <si>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</si>
  <si>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</si>
  <si>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</si>
  <si>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</si>
  <si>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</si>
  <si>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</si>
  <si>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</si>
  <si>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</si>
  <si>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</si>
  <si>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</si>
  <si>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</si>
  <si>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</si>
  <si>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</si>
  <si>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</si>
  <si>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</si>
  <si>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</si>
  <si>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</si>
  <si>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</si>
  <si>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</si>
  <si>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</si>
  <si>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</si>
  <si>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</si>
  <si>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</si>
  <si>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</si>
  <si>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</si>
  <si>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</si>
  <si>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</si>
  <si>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</si>
  <si>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</si>
  <si>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</si>
  <si>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</si>
  <si>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</si>
  <si>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</si>
  <si>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</si>
  <si>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</si>
  <si>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</si>
  <si>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</si>
  <si>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</si>
  <si>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</si>
  <si>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</si>
  <si>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</si>
  <si>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</si>
  <si>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</si>
  <si>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</si>
  <si>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</si>
  <si>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</si>
  <si>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</si>
  <si>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</si>
  <si>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</si>
  <si>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</si>
  <si>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</si>
  <si>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</si>
  <si>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</si>
  <si>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</si>
  <si>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</si>
  <si>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</si>
  <si>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</si>
  <si>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</si>
  <si>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</si>
  <si>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</si>
  <si>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</si>
  <si>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</si>
  <si>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</si>
  <si>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</si>
  <si>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</si>
  <si>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</si>
  <si>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</si>
  <si>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</si>
  <si>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</si>
  <si>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</si>
  <si>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</si>
  <si>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</si>
  <si>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</si>
  <si>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</si>
  <si>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</si>
  <si>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</si>
  <si>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</si>
  <si>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</si>
  <si>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</si>
  <si>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</si>
  <si>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</si>
  <si>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</si>
  <si>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</si>
  <si>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</si>
  <si>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</si>
  <si>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</si>
  <si>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</si>
  <si>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</si>
  <si>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</si>
  <si>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</si>
  <si>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</si>
  <si>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</si>
  <si>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</si>
  <si>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</si>
  <si>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</si>
  <si>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</si>
  <si>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</si>
  <si>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</si>
  <si>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</si>
  <si>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</si>
  <si>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</si>
  <si>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</si>
  <si>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</si>
  <si>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</si>
  <si>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</si>
  <si>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</si>
  <si>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</si>
  <si>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</si>
  <si>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</si>
  <si>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</si>
  <si>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</si>
  <si>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</si>
  <si>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</si>
  <si>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</si>
  <si>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</si>
  <si>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</si>
  <si>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</si>
  <si>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</si>
  <si>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</si>
  <si>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</si>
  <si>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</si>
  <si>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</si>
  <si>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</si>
  <si>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</si>
  <si>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</si>
  <si>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</si>
  <si>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</si>
  <si>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</si>
  <si>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</si>
  <si>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</si>
  <si>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</si>
  <si>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</si>
  <si>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</si>
  <si>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</si>
  <si>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</si>
  <si>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</si>
  <si>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</si>
  <si>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</si>
  <si>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</si>
  <si>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</si>
  <si>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</si>
  <si>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</si>
  <si>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</si>
  <si>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</si>
  <si>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</si>
  <si>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</si>
  <si>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</si>
  <si>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</si>
  <si>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</si>
  <si>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</si>
  <si>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</si>
  <si>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</si>
  <si>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</si>
  <si>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</si>
  <si>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</si>
  <si>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</si>
  <si>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</si>
  <si>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</si>
  <si>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</si>
  <si>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</si>
  <si>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</si>
  <si>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</si>
  <si>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</si>
  <si>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</si>
  <si>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</si>
  <si>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</si>
  <si>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</si>
  <si>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</si>
  <si>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</si>
  <si>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</si>
  <si>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</si>
  <si>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</si>
  <si>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</si>
  <si>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</si>
  <si>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</si>
  <si>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</si>
  <si>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</si>
  <si>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</si>
  <si>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</si>
  <si>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</si>
  <si>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</si>
  <si>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</si>
  <si>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</si>
  <si>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</si>
  <si>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</si>
  <si>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</si>
  <si>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</si>
  <si>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</si>
  <si>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</si>
  <si>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</si>
  <si>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</si>
  <si>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</si>
  <si>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</si>
  <si>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</si>
  <si>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</si>
  <si>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</si>
  <si>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</si>
  <si>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</si>
  <si>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</si>
  <si>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</si>
  <si>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</si>
  <si>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</si>
  <si>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</si>
  <si>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</si>
  <si>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</si>
  <si>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</si>
  <si>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</si>
  <si>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</si>
  <si>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</si>
  <si>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</si>
  <si>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</si>
  <si>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</si>
  <si>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</si>
  <si>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</si>
  <si>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</si>
  <si>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</si>
  <si>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</si>
  <si>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</si>
  <si>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</si>
  <si>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</si>
  <si>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</si>
  <si>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</si>
  <si>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</si>
  <si>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</si>
  <si>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</si>
  <si>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</si>
  <si>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</si>
  <si>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</si>
  <si>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</si>
  <si>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</si>
  <si>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</si>
  <si>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</si>
  <si>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</si>
  <si>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</si>
  <si>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</si>
  <si>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</si>
  <si>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</si>
  <si>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</si>
  <si>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</si>
  <si>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</si>
  <si>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</si>
  <si>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</si>
  <si>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</si>
  <si>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</si>
  <si>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</si>
  <si>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</si>
  <si>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</si>
  <si>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</si>
  <si>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</si>
  <si>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</si>
  <si>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</si>
  <si>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</si>
  <si>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</si>
  <si>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</si>
  <si>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</si>
  <si>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</si>
  <si>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</si>
  <si>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</si>
  <si>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</si>
  <si>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</si>
  <si>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</si>
  <si>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</si>
  <si>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</si>
  <si>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</si>
  <si>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</si>
  <si>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</si>
  <si>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</si>
  <si>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</si>
  <si>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</si>
  <si>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</si>
  <si>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</si>
  <si>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</si>
  <si>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</si>
  <si>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</si>
  <si>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</si>
  <si>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</si>
  <si>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</si>
  <si>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</si>
  <si>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</si>
  <si>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</si>
  <si>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</si>
  <si>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</si>
  <si>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</si>
  <si>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</si>
  <si>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</si>
  <si>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</si>
  <si>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</si>
  <si>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</si>
  <si>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</si>
  <si>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</si>
  <si>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</si>
  <si>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</si>
  <si>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</si>
  <si>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</si>
  <si>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</si>
  <si>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</si>
  <si>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</si>
  <si>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</si>
  <si>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</si>
  <si>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</si>
  <si>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</si>
  <si>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</si>
  <si>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</si>
  <si>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</si>
  <si>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</si>
  <si>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</si>
  <si>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</si>
  <si>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</si>
  <si>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</si>
  <si>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</si>
  <si>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</si>
  <si>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</si>
  <si>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</si>
  <si>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</si>
  <si>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</si>
  <si>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</si>
  <si>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</si>
  <si>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</si>
  <si>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</si>
  <si>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</si>
  <si>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</si>
  <si>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</si>
  <si>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</si>
  <si>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</si>
  <si>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</si>
  <si>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</si>
  <si>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</si>
  <si>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</si>
  <si>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</si>
  <si>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</si>
  <si>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</si>
  <si>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</si>
  <si>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</si>
  <si>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</si>
  <si>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</si>
  <si>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</si>
  <si>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</si>
  <si>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</si>
  <si>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</si>
  <si>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</si>
  <si>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</si>
  <si>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</si>
  <si>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</si>
  <si>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</si>
  <si>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</si>
  <si>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</si>
  <si>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</si>
  <si>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</si>
  <si>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</si>
  <si>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</si>
  <si>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</si>
  <si>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</si>
  <si>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</si>
  <si>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</si>
  <si>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</si>
  <si>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</si>
  <si>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</si>
  <si>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</si>
  <si>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</si>
  <si>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</si>
  <si>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</si>
  <si>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</si>
  <si>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</si>
  <si>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</si>
  <si>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</si>
  <si>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</si>
  <si>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</si>
  <si>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</si>
  <si>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</si>
  <si>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</si>
  <si>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</si>
  <si>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</si>
  <si>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</si>
  <si>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</si>
  <si>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</si>
  <si>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</si>
  <si>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</si>
  <si>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</si>
  <si>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</si>
  <si>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</si>
  <si>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</si>
  <si>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</si>
  <si>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</si>
  <si>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</si>
  <si>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</si>
  <si>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</si>
  <si>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</si>
  <si>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</si>
  <si>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</si>
  <si>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</si>
  <si>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</si>
  <si>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</si>
  <si>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</si>
  <si>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</si>
  <si>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</si>
  <si>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</si>
  <si>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</si>
  <si>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</si>
  <si>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</si>
  <si>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</si>
  <si>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</si>
  <si>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</si>
  <si>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</si>
  <si>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</si>
  <si>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</si>
  <si>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</si>
  <si>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</si>
  <si>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</si>
  <si>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</si>
  <si>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</si>
  <si>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</si>
  <si>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</si>
  <si>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</si>
  <si>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</si>
  <si>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</si>
  <si>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</si>
  <si>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</si>
  <si>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</si>
  <si>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</si>
  <si>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</si>
  <si>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</si>
  <si>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</si>
  <si>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</si>
  <si>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</si>
  <si>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</si>
  <si>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</si>
  <si>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</si>
  <si>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</si>
  <si>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</si>
  <si>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</si>
  <si>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</si>
  <si>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</si>
  <si>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</si>
  <si>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</si>
  <si>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</si>
  <si>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</si>
  <si>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</si>
  <si>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</si>
  <si>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</si>
  <si>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</si>
  <si>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</si>
  <si>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</si>
  <si>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</si>
  <si>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</si>
  <si>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</si>
  <si>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</si>
  <si>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</si>
  <si>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</si>
  <si>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</si>
  <si>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</si>
  <si>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</si>
  <si>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</si>
  <si>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</si>
  <si>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</si>
  <si>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</si>
  <si>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</si>
  <si>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</si>
  <si>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</si>
  <si>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</si>
  <si>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</si>
  <si>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</si>
  <si>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</si>
  <si>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</si>
  <si>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</si>
  <si>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</si>
  <si>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</si>
  <si>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</si>
  <si>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</si>
  <si>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</si>
  <si>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</si>
  <si>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</si>
  <si>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</si>
  <si>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</si>
  <si>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</si>
  <si>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</si>
  <si>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</si>
  <si>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</si>
  <si>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</si>
  <si>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</si>
  <si>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</si>
  <si>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</si>
  <si>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</si>
  <si>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</si>
  <si>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</si>
  <si>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</si>
  <si>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</si>
  <si>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</si>
  <si>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</si>
  <si>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</si>
  <si>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</si>
  <si>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</si>
  <si>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</si>
  <si>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</si>
  <si>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</si>
  <si>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</si>
  <si>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</si>
  <si>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</si>
  <si>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</si>
  <si>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</si>
  <si>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</si>
  <si>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</si>
  <si>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</si>
  <si>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</si>
  <si>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</si>
  <si>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</si>
  <si>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</si>
  <si>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</si>
  <si>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</si>
  <si>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</si>
  <si>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</si>
  <si>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</si>
  <si>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</si>
  <si>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</si>
  <si>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</si>
  <si>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</si>
  <si>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</si>
  <si>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</si>
  <si>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</si>
  <si>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</si>
  <si>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</si>
  <si>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</si>
  <si>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</si>
  <si>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</si>
  <si>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</si>
  <si>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</si>
  <si>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</si>
  <si>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</si>
  <si>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</si>
  <si>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</si>
  <si>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</si>
  <si>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</si>
  <si>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</si>
  <si>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</si>
  <si>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</si>
  <si>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</si>
  <si>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</si>
  <si>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</si>
  <si>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</si>
  <si>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</si>
  <si>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</si>
  <si>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</si>
  <si>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</si>
  <si>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</si>
  <si>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</si>
  <si>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</si>
  <si>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</si>
  <si>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</si>
  <si>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</si>
  <si>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</si>
  <si>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</si>
  <si>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</si>
  <si>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</si>
  <si>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</si>
  <si>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</si>
  <si>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</si>
  <si>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</si>
  <si>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</si>
  <si>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</si>
  <si>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</si>
  <si>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</si>
  <si>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</si>
  <si>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</si>
  <si>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</si>
  <si>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</si>
  <si>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</si>
  <si>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</si>
  <si>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</si>
  <si>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</si>
  <si>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</si>
  <si>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</si>
  <si>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</si>
  <si>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</si>
  <si>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</si>
  <si>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</si>
  <si>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</si>
  <si>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</si>
  <si>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</si>
  <si>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</si>
  <si>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</si>
  <si>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</si>
  <si>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</si>
  <si>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</si>
  <si>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</si>
  <si>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</si>
  <si>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</si>
  <si>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</si>
  <si>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</si>
  <si>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</si>
  <si>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</si>
  <si>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</si>
  <si>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</si>
  <si>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</si>
  <si>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</si>
  <si>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</si>
  <si>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</si>
  <si>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</si>
  <si>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</si>
  <si>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</si>
  <si>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</si>
  <si>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</si>
  <si>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</si>
  <si>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</si>
  <si>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</si>
  <si>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</si>
  <si>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</si>
  <si>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</si>
  <si>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</si>
  <si>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</si>
  <si>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</si>
  <si>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</si>
  <si>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</si>
  <si>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</si>
  <si>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</si>
  <si>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</si>
  <si>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</si>
  <si>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</si>
  <si>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</si>
  <si>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</si>
  <si>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</si>
  <si>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</si>
  <si>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</si>
  <si>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</si>
  <si>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</si>
  <si>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</si>
  <si>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</si>
  <si>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</si>
  <si>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</si>
  <si>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</si>
  <si>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</si>
  <si>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</si>
  <si>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</si>
  <si>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</si>
  <si>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</si>
  <si>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</si>
  <si>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</si>
  <si>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</si>
  <si>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</si>
  <si>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</si>
  <si>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</si>
  <si>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</si>
  <si>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</si>
  <si>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</si>
  <si>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</si>
  <si>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</si>
  <si>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</si>
  <si>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</si>
  <si>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</si>
  <si>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</si>
  <si>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</si>
  <si>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</si>
  <si>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</si>
  <si>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</si>
  <si>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</si>
  <si>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</si>
  <si>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</si>
  <si>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</si>
  <si>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</si>
  <si>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</si>
  <si>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</si>
  <si>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</si>
  <si>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</si>
  <si>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</si>
  <si>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</si>
  <si>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</si>
  <si>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</si>
  <si>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</si>
  <si>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</si>
  <si>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</si>
  <si>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</si>
  <si>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</si>
  <si>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</si>
  <si>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</si>
  <si>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</si>
  <si>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</si>
  <si>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</si>
  <si>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</si>
  <si>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</si>
  <si>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</si>
  <si>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</si>
  <si>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</si>
  <si>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</si>
  <si>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</si>
  <si>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</si>
  <si>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</si>
  <si>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</si>
  <si>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</si>
  <si>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</si>
  <si>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</si>
  <si>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</si>
  <si>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</si>
  <si>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</si>
  <si>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</si>
  <si>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</si>
  <si>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</si>
  <si>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</si>
  <si>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</si>
  <si>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</si>
  <si>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</si>
  <si>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</si>
  <si>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</si>
  <si>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</si>
  <si>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</si>
  <si>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</si>
  <si>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</si>
  <si>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</si>
  <si>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</si>
  <si>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</si>
  <si>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</si>
  <si>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</si>
  <si>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</si>
  <si>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</si>
  <si>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</si>
  <si>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</si>
  <si>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</si>
  <si>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</si>
  <si>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</si>
  <si>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</si>
  <si>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</si>
  <si>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</si>
  <si>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</si>
  <si>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</si>
  <si>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</si>
  <si>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</si>
  <si>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</si>
  <si>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</si>
  <si>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</si>
  <si>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</si>
  <si>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</si>
  <si>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</si>
  <si>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</si>
  <si>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</si>
  <si>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</si>
  <si>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</si>
  <si>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</si>
  <si>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</si>
  <si>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</si>
  <si>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</si>
  <si>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</si>
  <si>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</si>
  <si>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</si>
  <si>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</si>
  <si>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</si>
  <si>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</si>
  <si>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</si>
  <si>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</si>
  <si>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</si>
  <si>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</si>
  <si>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</si>
  <si>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</si>
  <si>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</si>
  <si>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</si>
  <si>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</si>
  <si>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</si>
  <si>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</si>
  <si>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</si>
  <si>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</si>
  <si>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</si>
  <si>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</si>
  <si>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</si>
  <si>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</si>
  <si>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</si>
  <si>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</si>
  <si>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</si>
  <si>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</si>
  <si>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</si>
  <si>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</si>
  <si>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</si>
  <si>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</si>
  <si>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</si>
  <si>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</si>
  <si>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</si>
  <si>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</si>
  <si>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</si>
  <si>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</si>
  <si>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</si>
  <si>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</si>
  <si>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</si>
  <si>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</si>
  <si>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</si>
  <si>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</si>
  <si>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</si>
  <si>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</si>
  <si>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</si>
  <si>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</si>
  <si>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</si>
  <si>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</si>
  <si>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</si>
  <si>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</si>
  <si>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</si>
  <si>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</si>
  <si>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</si>
  <si>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</si>
  <si>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</si>
  <si>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</si>
  <si>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</si>
  <si>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</si>
  <si>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</si>
  <si>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</si>
  <si>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</si>
  <si>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</si>
  <si>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</si>
  <si>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</si>
  <si>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</si>
  <si>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</si>
  <si>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</si>
  <si>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</si>
  <si>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</si>
  <si>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</si>
  <si>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</si>
  <si>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</si>
  <si>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</si>
  <si>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</si>
  <si>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</si>
  <si>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</si>
  <si>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</si>
  <si>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</si>
  <si>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</si>
  <si>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</si>
  <si>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</si>
  <si>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</si>
  <si>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</si>
  <si>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</si>
  <si>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</si>
  <si>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</si>
  <si>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</si>
  <si>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</si>
  <si>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</si>
  <si>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</si>
  <si>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</si>
  <si>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</si>
  <si>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Shaker Regional School District</t>
  </si>
  <si>
    <t>Prior Yr Receivable from CT DCYF will not be received - child was adopted during 17-18 and we did not received the paperwork</t>
  </si>
  <si>
    <t>A 17-18 Receivable of $42,164.82 from CT DCYF will not be received.  The child was adopted during the 17-18 year</t>
  </si>
  <si>
    <t>and we were not informed until spring of 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</si>
</sst>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486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261489.82</v>
      </c>
      <c r="G9" s="18">
        <f>66.8+537.66</f>
        <v>604.45999999999992</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1522.9</v>
      </c>
      <c r="G10" s="18"/>
      <c r="H10" s="18"/>
      <c r="I10" s="18"/>
      <c r="J10" s="67">
        <f>SUM(I440)</f>
        <v>636318.15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133287.84</v>
      </c>
      <c r="G12" s="18">
        <v>12321.2</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993741.55</v>
      </c>
      <c r="G13" s="18">
        <v>26330.87</v>
      </c>
      <c r="H13" s="18">
        <f>292184.7-144920.26</f>
        <v>147264.44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20460.150000000001</v>
      </c>
      <c r="G14" s="18">
        <v>1561.15</v>
      </c>
      <c r="H14" s="18">
        <v>26170.04</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59517.19</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1470019.45</v>
      </c>
      <c r="G19" s="41">
        <f>SUM(G9:G18)</f>
        <v>40817.68</v>
      </c>
      <c r="H19" s="41">
        <f>SUM(H9:H18)</f>
        <v>173434.48</v>
      </c>
      <c r="I19" s="41">
        <f>SUM(I9:I18)</f>
        <v>0</v>
      </c>
      <c r="J19" s="41">
        <f>SUM(J9:J18)</f>
        <v>636318.15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688.75</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7544.61</v>
      </c>
      <c r="G23" s="18"/>
      <c r="H23" s="18">
        <v>1655.62</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89087.11</v>
      </c>
      <c r="G24" s="18">
        <v>235.5</v>
      </c>
      <c r="H24" s="18">
        <v>3778.5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21199-249.68</f>
        <v>20949.32</v>
      </c>
      <c r="G28" s="18">
        <v>696.28</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5000</v>
      </c>
      <c r="G30" s="18">
        <v>10017.81</v>
      </c>
      <c r="H30" s="18">
        <v>168000.36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123269.79000000001</v>
      </c>
      <c r="G32" s="41">
        <f>SUM(G22:G31)</f>
        <v>10949.59</v>
      </c>
      <c r="H32" s="41">
        <f>SUM(H22:H31)</f>
        <v>173434.47999999998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59517.19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29868.09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210000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200390.6</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388893.6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636318.15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487948.25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1346749.6400000001</v>
      </c>
      <c r="G51" s="41">
        <f>SUM(G35:G50)</f>
        <v>29868.09</v>
      </c>
      <c r="H51" s="41">
        <f>SUM(H35:H50)</f>
        <v>0</v>
      </c>
      <c r="I51" s="41">
        <f>SUM(I35:I50)</f>
        <v>0</v>
      </c>
      <c r="J51" s="41">
        <f>SUM(J35:J50)</f>
        <v>636318.15</v>
      </c>
      <c r="K51" s="45" t="s">
        <v>288</v>
      </c>
      <c r="L51" s="45" t="s">
        <v>288</v>
      </c>
      <c r="N51" s="264"/>
    </row>
    <row r="52" spans="1:14" s="3" customFormat="1" ht="12.2" customHeight="1" thickTop="1" x14ac:dyDescent="0.15">
      <c r="A52" s="38" t="s">
        <v>455</v>
      </c>
      <c r="B52" s="39" t="s">
        <v>289</v>
      </c>
      <c r="C52" s="6">
        <v>37</v>
      </c>
      <c r="D52" s="39" t="s">
        <v>653</v>
      </c>
      <c r="E52" s="39"/>
      <c r="F52" s="41">
        <f>F51+F32</f>
        <v>1470019.4300000002</v>
      </c>
      <c r="G52" s="41">
        <f>G51+G32</f>
        <v>40817.68</v>
      </c>
      <c r="H52" s="41">
        <f>H51+H32</f>
        <v>173434.47999999998</v>
      </c>
      <c r="I52" s="41">
        <f>I51+I32</f>
        <v>0</v>
      </c>
      <c r="J52" s="41">
        <f>J51+J32</f>
        <v>636318.15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3961958+9655346</f>
        <v>13617304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13617304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10669.77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17005.310000000001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27675.08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5899.81</v>
      </c>
      <c r="G96" s="18">
        <v>6.54</v>
      </c>
      <c r="H96" s="18">
        <v>106388.41</v>
      </c>
      <c r="I96" s="18"/>
      <c r="J96" s="18">
        <v>14290.75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256172.3-1203.4</f>
        <v>254968.9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1450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76862.99+12954-0.03</f>
        <v>89816.960000000006</v>
      </c>
      <c r="G110" s="18">
        <v>1699.29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97166.77</v>
      </c>
      <c r="G111" s="41">
        <f>SUM(G96:G110)</f>
        <v>256674.73</v>
      </c>
      <c r="H111" s="41">
        <f>SUM(H96:H110)</f>
        <v>106388.41</v>
      </c>
      <c r="I111" s="41">
        <f>SUM(I96:I110)</f>
        <v>0</v>
      </c>
      <c r="J111" s="41">
        <f>SUM(J96:J110)</f>
        <v>14290.75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13742145.85</v>
      </c>
      <c r="G112" s="41">
        <f>G60+G111</f>
        <v>256674.73</v>
      </c>
      <c r="H112" s="41">
        <f>H60+H79+H94+H111</f>
        <v>106388.41</v>
      </c>
      <c r="I112" s="41">
        <f>I60+I111</f>
        <v>0</v>
      </c>
      <c r="J112" s="41">
        <f>J60+J111</f>
        <v>14290.75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4869079.6900000004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1938440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1388.82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6808908.5100000007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97458.79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36829.18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11023.6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7669.84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6477.2</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145311.57</v>
      </c>
      <c r="G136" s="41">
        <f>SUM(G123:G135)</f>
        <v>14147.04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6954220.080000001</v>
      </c>
      <c r="G140" s="41">
        <f>G121+SUM(G136:G137)</f>
        <v>14147.04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334476.38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393841.96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278705.34000000003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126427.59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109150.7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109150.7</v>
      </c>
      <c r="G162" s="41">
        <f>SUM(G150:G161)</f>
        <v>278705.34000000003</v>
      </c>
      <c r="H162" s="41">
        <f>SUM(H150:H161)</f>
        <v>854745.93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109150.7</v>
      </c>
      <c r="G169" s="41">
        <f>G147+G162+SUM(G163:G168)</f>
        <v>278705.34000000003</v>
      </c>
      <c r="H169" s="41">
        <f>H147+H162+SUM(H163:H168)</f>
        <v>854745.93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36203.4</v>
      </c>
      <c r="H179" s="18"/>
      <c r="I179" s="18"/>
      <c r="J179" s="18">
        <v>85000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36203.4</v>
      </c>
      <c r="H183" s="41">
        <f>SUM(H179:H182)</f>
        <v>0</v>
      </c>
      <c r="I183" s="41">
        <f>SUM(I179:I182)</f>
        <v>0</v>
      </c>
      <c r="J183" s="41">
        <f>SUM(J179:J182)</f>
        <v>85000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f>19545.48-1208.48</f>
        <v>18337</v>
      </c>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18337</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36203.4</v>
      </c>
      <c r="H192" s="41">
        <f>+H183+SUM(H188:H191)</f>
        <v>18337</v>
      </c>
      <c r="I192" s="41">
        <f>I177+I183+SUM(I188:I191)</f>
        <v>0</v>
      </c>
      <c r="J192" s="41">
        <f>J183</f>
        <v>85000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20805516.629999999</v>
      </c>
      <c r="G193" s="47">
        <f>G112+G140+G169+G192</f>
        <v>585730.51000000013</v>
      </c>
      <c r="H193" s="47">
        <f>H112+H140+H169+H192</f>
        <v>979471.34000000008</v>
      </c>
      <c r="I193" s="47">
        <f>I112+I140+I169+I192</f>
        <v>0</v>
      </c>
      <c r="J193" s="47">
        <f>J112+J140+J192</f>
        <v>99290.75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2269345.31</v>
      </c>
      <c r="G197" s="18">
        <v>1172480.1499999999</v>
      </c>
      <c r="H197" s="18">
        <v>2424.21</v>
      </c>
      <c r="I197" s="18">
        <v>73357.52</v>
      </c>
      <c r="J197" s="18">
        <v>12096.37</v>
      </c>
      <c r="K197" s="18"/>
      <c r="L197" s="19">
        <f>SUM(F197:K197)</f>
        <v>3529703.56</v>
      </c>
      <c r="M197" s="8"/>
      <c r="N197" s="266"/>
    </row>
    <row r="198" spans="1:14" s="3" customFormat="1" ht="12.2" customHeight="1" x14ac:dyDescent="0.15">
      <c r="A198" s="1" t="s">
        <v>439</v>
      </c>
      <c r="B198" s="2" t="s">
        <v>341</v>
      </c>
      <c r="C198" s="2" t="s">
        <v>291</v>
      </c>
      <c r="D198" s="2" t="s">
        <v>431</v>
      </c>
      <c r="E198" s="6">
        <v>1200</v>
      </c>
      <c r="F198" s="18">
        <v>716049.51</v>
      </c>
      <c r="G198" s="18">
        <v>371252.86</v>
      </c>
      <c r="H198" s="18">
        <v>38743.97</v>
      </c>
      <c r="I198" s="18">
        <v>1442.41</v>
      </c>
      <c r="J198" s="18">
        <v>386.87</v>
      </c>
      <c r="K198" s="18"/>
      <c r="L198" s="19">
        <f>SUM(F198:K198)</f>
        <v>1127875.6200000001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28748.14</v>
      </c>
      <c r="G200" s="18">
        <v>5772.84</v>
      </c>
      <c r="H200" s="18">
        <v>5200.1099999999997</v>
      </c>
      <c r="I200" s="18">
        <v>890.91</v>
      </c>
      <c r="J200" s="18">
        <v>503.1</v>
      </c>
      <c r="K200" s="18"/>
      <c r="L200" s="19">
        <f>SUM(F200:K200)</f>
        <v>41115.1</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693603.08</v>
      </c>
      <c r="G202" s="18">
        <v>365839.62</v>
      </c>
      <c r="H202" s="18">
        <v>220105.91</v>
      </c>
      <c r="I202" s="18">
        <v>5610.93</v>
      </c>
      <c r="J202" s="18">
        <v>463.49</v>
      </c>
      <c r="K202" s="18">
        <v>915.43</v>
      </c>
      <c r="L202" s="19">
        <f t="shared" ref="L202:L208" si="0">SUM(F202:K202)</f>
        <v>1286538.4599999997</v>
      </c>
      <c r="M202" s="8"/>
      <c r="N202" s="266"/>
    </row>
    <row r="203" spans="1:14" s="3" customFormat="1" ht="12.2" customHeight="1" x14ac:dyDescent="0.15">
      <c r="A203" s="1" t="s">
        <v>443</v>
      </c>
      <c r="B203" s="2" t="s">
        <v>341</v>
      </c>
      <c r="C203" s="2" t="s">
        <v>295</v>
      </c>
      <c r="D203" s="2" t="s">
        <v>431</v>
      </c>
      <c r="E203" s="6">
        <v>2200</v>
      </c>
      <c r="F203" s="18">
        <v>183392.56</v>
      </c>
      <c r="G203" s="18">
        <v>121953.63</v>
      </c>
      <c r="H203" s="18">
        <v>90942.34</v>
      </c>
      <c r="I203" s="18">
        <v>34255.629999999997</v>
      </c>
      <c r="J203" s="18">
        <v>27841.61</v>
      </c>
      <c r="K203" s="18">
        <v>438.45</v>
      </c>
      <c r="L203" s="19">
        <f t="shared" si="0"/>
        <v>458824.22000000003</v>
      </c>
      <c r="M203" s="8"/>
      <c r="N203" s="266"/>
    </row>
    <row r="204" spans="1:14" s="3" customFormat="1" ht="12.2" customHeight="1" x14ac:dyDescent="0.15">
      <c r="A204" s="1" t="s">
        <v>444</v>
      </c>
      <c r="B204" s="2" t="s">
        <v>341</v>
      </c>
      <c r="C204" s="2" t="s">
        <v>296</v>
      </c>
      <c r="D204" s="2" t="s">
        <v>431</v>
      </c>
      <c r="E204" s="6">
        <v>2300</v>
      </c>
      <c r="F204" s="18">
        <v>74650.929999999993</v>
      </c>
      <c r="G204" s="18">
        <v>27078.04</v>
      </c>
      <c r="H204" s="18">
        <v>40247.4</v>
      </c>
      <c r="I204" s="18">
        <v>3492.7</v>
      </c>
      <c r="J204" s="18"/>
      <c r="K204" s="18">
        <v>2635.12</v>
      </c>
      <c r="L204" s="19">
        <f t="shared" si="0"/>
        <v>148104.19</v>
      </c>
      <c r="M204" s="8"/>
      <c r="N204" s="266"/>
    </row>
    <row r="205" spans="1:14" s="3" customFormat="1" ht="12.2" customHeight="1" x14ac:dyDescent="0.15">
      <c r="A205" s="1" t="s">
        <v>445</v>
      </c>
      <c r="B205" s="2" t="s">
        <v>341</v>
      </c>
      <c r="C205" s="2" t="s">
        <v>297</v>
      </c>
      <c r="D205" s="2" t="s">
        <v>431</v>
      </c>
      <c r="E205" s="6">
        <v>2400</v>
      </c>
      <c r="F205" s="18">
        <v>322806.92</v>
      </c>
      <c r="G205" s="18">
        <v>158875.47</v>
      </c>
      <c r="H205" s="18">
        <v>22332.99</v>
      </c>
      <c r="I205" s="18">
        <v>3429.49</v>
      </c>
      <c r="J205" s="18">
        <v>878.24</v>
      </c>
      <c r="K205" s="18">
        <v>2345</v>
      </c>
      <c r="L205" s="19">
        <f t="shared" si="0"/>
        <v>510668.11</v>
      </c>
      <c r="M205" s="8"/>
      <c r="N205" s="266"/>
    </row>
    <row r="206" spans="1:14" s="3" customFormat="1" ht="12.2" customHeight="1" x14ac:dyDescent="0.15">
      <c r="A206" s="1" t="s">
        <v>446</v>
      </c>
      <c r="B206" s="2" t="s">
        <v>341</v>
      </c>
      <c r="C206" s="2" t="s">
        <v>298</v>
      </c>
      <c r="D206" s="2" t="s">
        <v>431</v>
      </c>
      <c r="E206" s="6">
        <v>2500</v>
      </c>
      <c r="F206" s="18">
        <v>83007.320000000007</v>
      </c>
      <c r="G206" s="18">
        <v>34630.71</v>
      </c>
      <c r="H206" s="18">
        <v>11522.26</v>
      </c>
      <c r="I206" s="18">
        <v>2528.6999999999998</v>
      </c>
      <c r="J206" s="18">
        <v>452.59</v>
      </c>
      <c r="K206" s="18">
        <v>729.09</v>
      </c>
      <c r="L206" s="19">
        <f t="shared" si="0"/>
        <v>132870.66999999998</v>
      </c>
      <c r="M206" s="8"/>
      <c r="N206" s="266"/>
    </row>
    <row r="207" spans="1:14" s="3" customFormat="1" ht="12.2" customHeight="1" x14ac:dyDescent="0.15">
      <c r="A207" s="1" t="s">
        <v>447</v>
      </c>
      <c r="B207" s="2" t="s">
        <v>341</v>
      </c>
      <c r="C207" s="2" t="s">
        <v>299</v>
      </c>
      <c r="D207" s="2" t="s">
        <v>431</v>
      </c>
      <c r="E207" s="6">
        <v>2600</v>
      </c>
      <c r="F207" s="18">
        <v>189455.41</v>
      </c>
      <c r="G207" s="18">
        <v>80113.05</v>
      </c>
      <c r="H207" s="18">
        <v>253002.94</v>
      </c>
      <c r="I207" s="18">
        <v>143547.07999999999</v>
      </c>
      <c r="J207" s="18">
        <v>16564.330000000002</v>
      </c>
      <c r="K207" s="18"/>
      <c r="L207" s="19">
        <f t="shared" si="0"/>
        <v>682682.80999999994</v>
      </c>
      <c r="M207" s="8"/>
      <c r="N207" s="266"/>
    </row>
    <row r="208" spans="1:14" s="3" customFormat="1" ht="12.2" customHeight="1" x14ac:dyDescent="0.15">
      <c r="A208" s="1" t="s">
        <v>448</v>
      </c>
      <c r="B208" s="2" t="s">
        <v>341</v>
      </c>
      <c r="C208" s="2" t="s">
        <v>300</v>
      </c>
      <c r="D208" s="2" t="s">
        <v>431</v>
      </c>
      <c r="E208" s="6">
        <v>2700</v>
      </c>
      <c r="F208" s="18"/>
      <c r="G208" s="18"/>
      <c r="H208" s="18">
        <v>315457.26</v>
      </c>
      <c r="I208" s="18"/>
      <c r="J208" s="18"/>
      <c r="K208" s="18"/>
      <c r="L208" s="19">
        <f t="shared" si="0"/>
        <v>315457.26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4561059.1800000016</v>
      </c>
      <c r="G211" s="41">
        <f t="shared" si="1"/>
        <v>2337996.3699999996</v>
      </c>
      <c r="H211" s="41">
        <f t="shared" si="1"/>
        <v>999979.39000000013</v>
      </c>
      <c r="I211" s="41">
        <f t="shared" si="1"/>
        <v>268555.37</v>
      </c>
      <c r="J211" s="41">
        <f t="shared" si="1"/>
        <v>59186.6</v>
      </c>
      <c r="K211" s="41">
        <f t="shared" si="1"/>
        <v>7063.09</v>
      </c>
      <c r="L211" s="41">
        <f t="shared" si="1"/>
        <v>8233839.9999999991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1770987.65</v>
      </c>
      <c r="G215" s="18">
        <v>887931.11</v>
      </c>
      <c r="H215" s="18">
        <v>1548.4</v>
      </c>
      <c r="I215" s="18">
        <v>39126.97</v>
      </c>
      <c r="J215" s="18">
        <v>6066.19</v>
      </c>
      <c r="K215" s="18"/>
      <c r="L215" s="19">
        <f>SUM(F215:K215)</f>
        <v>2705660.32</v>
      </c>
      <c r="M215" s="8"/>
      <c r="N215" s="266"/>
    </row>
    <row r="216" spans="1:14" s="3" customFormat="1" ht="12.2" customHeight="1" x14ac:dyDescent="0.15">
      <c r="A216" s="1" t="s">
        <v>439</v>
      </c>
      <c r="B216" s="2" t="s">
        <v>346</v>
      </c>
      <c r="C216" s="2" t="s">
        <v>291</v>
      </c>
      <c r="D216" s="2" t="s">
        <v>431</v>
      </c>
      <c r="E216" s="6">
        <v>1200</v>
      </c>
      <c r="F216" s="18">
        <v>415259.38</v>
      </c>
      <c r="G216" s="18">
        <v>264287.40000000002</v>
      </c>
      <c r="H216" s="18">
        <v>204873.55</v>
      </c>
      <c r="I216" s="18">
        <v>848.87</v>
      </c>
      <c r="J216" s="18">
        <v>386.91</v>
      </c>
      <c r="K216" s="18"/>
      <c r="L216" s="19">
        <f>SUM(F216:K216)</f>
        <v>885656.1100000001</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71367.179999999993</v>
      </c>
      <c r="G218" s="18">
        <v>21941.78</v>
      </c>
      <c r="H218" s="18">
        <v>7969.5</v>
      </c>
      <c r="I218" s="18">
        <v>6874.1</v>
      </c>
      <c r="J218" s="18"/>
      <c r="K218" s="18">
        <v>1304.5</v>
      </c>
      <c r="L218" s="19">
        <f>SUM(F218:K218)</f>
        <v>109457.06</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312442.64</v>
      </c>
      <c r="G220" s="18">
        <v>155727.82999999999</v>
      </c>
      <c r="H220" s="18">
        <v>52389.79</v>
      </c>
      <c r="I220" s="18">
        <v>4975.01</v>
      </c>
      <c r="J220" s="18">
        <v>279.97000000000003</v>
      </c>
      <c r="K220" s="18">
        <v>822.71</v>
      </c>
      <c r="L220" s="19">
        <f t="shared" ref="L220:L226" si="2">SUM(F220:K220)</f>
        <v>526637.94999999984</v>
      </c>
      <c r="M220" s="8"/>
      <c r="N220" s="266"/>
    </row>
    <row r="221" spans="1:14" s="3" customFormat="1" ht="12.2" customHeight="1" x14ac:dyDescent="0.15">
      <c r="A221" s="1" t="s">
        <v>443</v>
      </c>
      <c r="B221" s="2" t="s">
        <v>346</v>
      </c>
      <c r="C221" s="2" t="s">
        <v>295</v>
      </c>
      <c r="D221" s="2" t="s">
        <v>431</v>
      </c>
      <c r="E221" s="6">
        <v>2200</v>
      </c>
      <c r="F221" s="18">
        <v>137165.63</v>
      </c>
      <c r="G221" s="18">
        <v>88623.5</v>
      </c>
      <c r="H221" s="18">
        <v>63634.34</v>
      </c>
      <c r="I221" s="18">
        <v>22834.39</v>
      </c>
      <c r="J221" s="18">
        <v>20371.78</v>
      </c>
      <c r="K221" s="18">
        <v>316.17</v>
      </c>
      <c r="L221" s="19">
        <f t="shared" si="2"/>
        <v>332945.81</v>
      </c>
      <c r="M221" s="8"/>
      <c r="N221" s="266"/>
    </row>
    <row r="222" spans="1:14" s="3" customFormat="1" ht="12.2" customHeight="1" x14ac:dyDescent="0.15">
      <c r="A222" s="1" t="s">
        <v>444</v>
      </c>
      <c r="B222" s="2" t="s">
        <v>346</v>
      </c>
      <c r="C222" s="2" t="s">
        <v>296</v>
      </c>
      <c r="D222" s="2" t="s">
        <v>431</v>
      </c>
      <c r="E222" s="6">
        <v>2300</v>
      </c>
      <c r="F222" s="18">
        <v>53831.43</v>
      </c>
      <c r="G222" s="18">
        <v>19526.2</v>
      </c>
      <c r="H222" s="18">
        <v>29022.720000000001</v>
      </c>
      <c r="I222" s="18">
        <v>2518.62</v>
      </c>
      <c r="J222" s="18"/>
      <c r="K222" s="18">
        <v>1900.21</v>
      </c>
      <c r="L222" s="19">
        <f t="shared" si="2"/>
        <v>106799.18000000001</v>
      </c>
      <c r="M222" s="8"/>
      <c r="N222" s="266"/>
    </row>
    <row r="223" spans="1:14" s="3" customFormat="1" ht="12.2" customHeight="1" x14ac:dyDescent="0.15">
      <c r="A223" s="1" t="s">
        <v>445</v>
      </c>
      <c r="B223" s="2" t="s">
        <v>346</v>
      </c>
      <c r="C223" s="2" t="s">
        <v>297</v>
      </c>
      <c r="D223" s="2" t="s">
        <v>431</v>
      </c>
      <c r="E223" s="6">
        <v>2400</v>
      </c>
      <c r="F223" s="18">
        <v>230666.65</v>
      </c>
      <c r="G223" s="18">
        <v>124266.24000000001</v>
      </c>
      <c r="H223" s="18">
        <v>14025.62</v>
      </c>
      <c r="I223" s="18">
        <v>2674.86</v>
      </c>
      <c r="J223" s="18">
        <v>761.86</v>
      </c>
      <c r="K223" s="18">
        <v>2010</v>
      </c>
      <c r="L223" s="19">
        <f t="shared" si="2"/>
        <v>374405.23</v>
      </c>
      <c r="M223" s="8"/>
      <c r="N223" s="266"/>
    </row>
    <row r="224" spans="1:14" s="3" customFormat="1" ht="12.2" customHeight="1" x14ac:dyDescent="0.15">
      <c r="A224" s="1" t="s">
        <v>446</v>
      </c>
      <c r="B224" s="2" t="s">
        <v>346</v>
      </c>
      <c r="C224" s="2" t="s">
        <v>298</v>
      </c>
      <c r="D224" s="2" t="s">
        <v>431</v>
      </c>
      <c r="E224" s="6">
        <v>2500</v>
      </c>
      <c r="F224" s="18">
        <v>59857.3</v>
      </c>
      <c r="G224" s="18">
        <v>24972.53</v>
      </c>
      <c r="H224" s="18">
        <v>8308.7999999999993</v>
      </c>
      <c r="I224" s="18">
        <v>1823.46</v>
      </c>
      <c r="J224" s="18">
        <v>326.37</v>
      </c>
      <c r="K224" s="18">
        <v>525.76</v>
      </c>
      <c r="L224" s="19">
        <f t="shared" si="2"/>
        <v>95814.22</v>
      </c>
      <c r="M224" s="8"/>
      <c r="N224" s="266"/>
    </row>
    <row r="225" spans="1:14" s="3" customFormat="1" ht="12.2" customHeight="1" x14ac:dyDescent="0.15">
      <c r="A225" s="1" t="s">
        <v>447</v>
      </c>
      <c r="B225" s="2" t="s">
        <v>346</v>
      </c>
      <c r="C225" s="2" t="s">
        <v>299</v>
      </c>
      <c r="D225" s="2" t="s">
        <v>431</v>
      </c>
      <c r="E225" s="6">
        <v>2600</v>
      </c>
      <c r="F225" s="18">
        <v>145395.48000000001</v>
      </c>
      <c r="G225" s="18">
        <v>69263.22</v>
      </c>
      <c r="H225" s="18">
        <v>197249.42</v>
      </c>
      <c r="I225" s="18">
        <v>114170.01</v>
      </c>
      <c r="J225" s="18">
        <v>8797.98</v>
      </c>
      <c r="K225" s="18"/>
      <c r="L225" s="19">
        <f t="shared" si="2"/>
        <v>534876.11</v>
      </c>
      <c r="M225" s="8"/>
      <c r="N225" s="266"/>
    </row>
    <row r="226" spans="1:14" s="3" customFormat="1" ht="12.2" customHeight="1" x14ac:dyDescent="0.15">
      <c r="A226" s="1" t="s">
        <v>448</v>
      </c>
      <c r="B226" s="2" t="s">
        <v>346</v>
      </c>
      <c r="C226" s="2" t="s">
        <v>300</v>
      </c>
      <c r="D226" s="2" t="s">
        <v>431</v>
      </c>
      <c r="E226" s="6">
        <v>2700</v>
      </c>
      <c r="F226" s="18"/>
      <c r="G226" s="18"/>
      <c r="H226" s="18">
        <v>279941.74</v>
      </c>
      <c r="I226" s="18"/>
      <c r="J226" s="18"/>
      <c r="K226" s="18"/>
      <c r="L226" s="19">
        <f t="shared" si="2"/>
        <v>279941.74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3196973.34</v>
      </c>
      <c r="G229" s="41">
        <f>SUM(G215:G228)</f>
        <v>1656539.81</v>
      </c>
      <c r="H229" s="41">
        <f>SUM(H215:H228)</f>
        <v>858963.87999999989</v>
      </c>
      <c r="I229" s="41">
        <f>SUM(I215:I228)</f>
        <v>195846.28999999998</v>
      </c>
      <c r="J229" s="41">
        <f>SUM(J215:J228)</f>
        <v>36991.06</v>
      </c>
      <c r="K229" s="41">
        <f t="shared" si="3"/>
        <v>6879.35</v>
      </c>
      <c r="L229" s="41">
        <f t="shared" si="3"/>
        <v>5952193.7299999986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1747354.9</v>
      </c>
      <c r="G233" s="18">
        <v>922691.51</v>
      </c>
      <c r="H233" s="18">
        <v>3801</v>
      </c>
      <c r="I233" s="18">
        <v>57945.04</v>
      </c>
      <c r="J233" s="18">
        <v>9511.86</v>
      </c>
      <c r="K233" s="18"/>
      <c r="L233" s="19">
        <f>SUM(F233:K233)</f>
        <v>2741304.31</v>
      </c>
      <c r="M233" s="8"/>
      <c r="N233" s="266"/>
    </row>
    <row r="234" spans="1:14" s="3" customFormat="1" ht="12.2" customHeight="1" x14ac:dyDescent="0.15">
      <c r="A234" s="1" t="s">
        <v>439</v>
      </c>
      <c r="B234" s="2" t="s">
        <v>350</v>
      </c>
      <c r="C234" s="2" t="s">
        <v>291</v>
      </c>
      <c r="D234" s="2" t="s">
        <v>431</v>
      </c>
      <c r="E234" s="6">
        <v>1200</v>
      </c>
      <c r="F234" s="18">
        <v>426904.2</v>
      </c>
      <c r="G234" s="18">
        <v>229930.03</v>
      </c>
      <c r="H234" s="18">
        <v>242381.22</v>
      </c>
      <c r="I234" s="18">
        <v>3430.33</v>
      </c>
      <c r="J234" s="18"/>
      <c r="K234" s="18"/>
      <c r="L234" s="19">
        <f>SUM(F234:K234)</f>
        <v>902645.77999999991</v>
      </c>
      <c r="M234" s="8"/>
      <c r="N234" s="266"/>
    </row>
    <row r="235" spans="1:14" s="3" customFormat="1" ht="12.2" customHeight="1" x14ac:dyDescent="0.15">
      <c r="A235" s="1" t="s">
        <v>440</v>
      </c>
      <c r="B235" s="2" t="s">
        <v>350</v>
      </c>
      <c r="C235" s="2" t="s">
        <v>292</v>
      </c>
      <c r="D235" s="2" t="s">
        <v>431</v>
      </c>
      <c r="E235" s="6">
        <v>1300</v>
      </c>
      <c r="F235" s="18">
        <v>19953.2</v>
      </c>
      <c r="G235" s="18">
        <v>1648.79</v>
      </c>
      <c r="H235" s="18">
        <v>154797.48000000001</v>
      </c>
      <c r="I235" s="18"/>
      <c r="J235" s="18"/>
      <c r="K235" s="18"/>
      <c r="L235" s="19">
        <f>SUM(F235:K235)</f>
        <v>176399.47</v>
      </c>
      <c r="M235" s="8"/>
      <c r="N235" s="266"/>
    </row>
    <row r="236" spans="1:14" s="3" customFormat="1" ht="12.2" customHeight="1" x14ac:dyDescent="0.15">
      <c r="A236" s="1" t="s">
        <v>441</v>
      </c>
      <c r="B236" s="2" t="s">
        <v>350</v>
      </c>
      <c r="C236" s="2" t="s">
        <v>293</v>
      </c>
      <c r="D236" s="2" t="s">
        <v>431</v>
      </c>
      <c r="E236" s="6">
        <v>1400</v>
      </c>
      <c r="F236" s="18">
        <v>149720.03</v>
      </c>
      <c r="G236" s="18">
        <v>45800.32</v>
      </c>
      <c r="H236" s="18">
        <v>48882</v>
      </c>
      <c r="I236" s="18">
        <v>17028.54</v>
      </c>
      <c r="J236" s="18"/>
      <c r="K236" s="18">
        <v>19822.8</v>
      </c>
      <c r="L236" s="19">
        <f>SUM(F236:K236)</f>
        <v>281253.69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356035.88</v>
      </c>
      <c r="G238" s="18">
        <v>199893.4</v>
      </c>
      <c r="H238" s="18">
        <v>91008.18</v>
      </c>
      <c r="I238" s="18">
        <v>9846.83</v>
      </c>
      <c r="J238" s="18">
        <v>381.18</v>
      </c>
      <c r="K238" s="18">
        <v>578.86</v>
      </c>
      <c r="L238" s="19">
        <f t="shared" ref="L238:L244" si="4">SUM(F238:K238)</f>
        <v>657744.32999999996</v>
      </c>
      <c r="M238" s="8"/>
      <c r="N238" s="266"/>
    </row>
    <row r="239" spans="1:14" s="3" customFormat="1" ht="12.2" customHeight="1" x14ac:dyDescent="0.15">
      <c r="A239" s="1" t="s">
        <v>443</v>
      </c>
      <c r="B239" s="2" t="s">
        <v>350</v>
      </c>
      <c r="C239" s="2" t="s">
        <v>295</v>
      </c>
      <c r="D239" s="2" t="s">
        <v>431</v>
      </c>
      <c r="E239" s="6">
        <v>2200</v>
      </c>
      <c r="F239" s="18">
        <v>129264.01</v>
      </c>
      <c r="G239" s="18">
        <v>80557.149999999994</v>
      </c>
      <c r="H239" s="18">
        <v>66299.91</v>
      </c>
      <c r="I239" s="18">
        <v>27734.23</v>
      </c>
      <c r="J239" s="18">
        <v>22483.119999999999</v>
      </c>
      <c r="K239" s="18">
        <v>330.38</v>
      </c>
      <c r="L239" s="19">
        <f t="shared" si="4"/>
        <v>326668.79999999993</v>
      </c>
      <c r="M239" s="8"/>
      <c r="N239" s="266"/>
    </row>
    <row r="240" spans="1:14" s="3" customFormat="1" ht="12.2" customHeight="1" x14ac:dyDescent="0.15">
      <c r="A240" s="1" t="s">
        <v>444</v>
      </c>
      <c r="B240" s="2" t="s">
        <v>350</v>
      </c>
      <c r="C240" s="2" t="s">
        <v>296</v>
      </c>
      <c r="D240" s="2" t="s">
        <v>431</v>
      </c>
      <c r="E240" s="6">
        <v>2300</v>
      </c>
      <c r="F240" s="18">
        <v>56251.44</v>
      </c>
      <c r="G240" s="18">
        <v>20403.990000000002</v>
      </c>
      <c r="H240" s="18">
        <v>30327.46</v>
      </c>
      <c r="I240" s="18">
        <v>2631.85</v>
      </c>
      <c r="J240" s="18"/>
      <c r="K240" s="18">
        <v>1985.65</v>
      </c>
      <c r="L240" s="19">
        <f t="shared" si="4"/>
        <v>111600.39000000001</v>
      </c>
      <c r="M240" s="8"/>
      <c r="N240" s="266"/>
    </row>
    <row r="241" spans="1:14" s="3" customFormat="1" ht="12.2" customHeight="1" x14ac:dyDescent="0.15">
      <c r="A241" s="1" t="s">
        <v>445</v>
      </c>
      <c r="B241" s="2" t="s">
        <v>350</v>
      </c>
      <c r="C241" s="2" t="s">
        <v>297</v>
      </c>
      <c r="D241" s="2" t="s">
        <v>431</v>
      </c>
      <c r="E241" s="6">
        <v>2400</v>
      </c>
      <c r="F241" s="18">
        <v>222915.71</v>
      </c>
      <c r="G241" s="18">
        <v>89822.5</v>
      </c>
      <c r="H241" s="18">
        <v>11459.52</v>
      </c>
      <c r="I241" s="18">
        <v>2738.57</v>
      </c>
      <c r="J241" s="18"/>
      <c r="K241" s="18">
        <v>13025.08</v>
      </c>
      <c r="L241" s="19">
        <f t="shared" si="4"/>
        <v>339961.38</v>
      </c>
      <c r="M241" s="8"/>
      <c r="N241" s="266"/>
    </row>
    <row r="242" spans="1:14" s="3" customFormat="1" ht="12.2" customHeight="1" x14ac:dyDescent="0.15">
      <c r="A242" s="1" t="s">
        <v>446</v>
      </c>
      <c r="B242" s="2" t="s">
        <v>350</v>
      </c>
      <c r="C242" s="2" t="s">
        <v>298</v>
      </c>
      <c r="D242" s="2" t="s">
        <v>431</v>
      </c>
      <c r="E242" s="6">
        <v>2500</v>
      </c>
      <c r="F242" s="18">
        <v>62548.21</v>
      </c>
      <c r="G242" s="18">
        <v>26095.18</v>
      </c>
      <c r="H242" s="18">
        <v>8682.31</v>
      </c>
      <c r="I242" s="18">
        <v>1905.43</v>
      </c>
      <c r="J242" s="18">
        <v>341.03</v>
      </c>
      <c r="K242" s="18">
        <v>549.39</v>
      </c>
      <c r="L242" s="19">
        <f t="shared" si="4"/>
        <v>100121.54999999999</v>
      </c>
      <c r="M242" s="8"/>
      <c r="N242" s="266"/>
    </row>
    <row r="243" spans="1:14" s="3" customFormat="1" ht="12.2" customHeight="1" x14ac:dyDescent="0.15">
      <c r="A243" s="1" t="s">
        <v>447</v>
      </c>
      <c r="B243" s="2" t="s">
        <v>350</v>
      </c>
      <c r="C243" s="2" t="s">
        <v>299</v>
      </c>
      <c r="D243" s="2" t="s">
        <v>431</v>
      </c>
      <c r="E243" s="6">
        <v>2600</v>
      </c>
      <c r="F243" s="18">
        <v>152617.32999999999</v>
      </c>
      <c r="G243" s="18">
        <v>69548.91</v>
      </c>
      <c r="H243" s="18">
        <v>202742.05</v>
      </c>
      <c r="I243" s="18">
        <v>123268.52</v>
      </c>
      <c r="J243" s="18">
        <v>12157.64</v>
      </c>
      <c r="K243" s="18"/>
      <c r="L243" s="19">
        <f t="shared" si="4"/>
        <v>560334.44999999995</v>
      </c>
      <c r="M243" s="8"/>
      <c r="N243" s="266"/>
    </row>
    <row r="244" spans="1:14" s="3" customFormat="1" ht="12.2" customHeight="1" x14ac:dyDescent="0.15">
      <c r="A244" s="1" t="s">
        <v>448</v>
      </c>
      <c r="B244" s="2" t="s">
        <v>350</v>
      </c>
      <c r="C244" s="2" t="s">
        <v>300</v>
      </c>
      <c r="D244" s="2" t="s">
        <v>431</v>
      </c>
      <c r="E244" s="6">
        <v>2700</v>
      </c>
      <c r="F244" s="18"/>
      <c r="G244" s="18"/>
      <c r="H244" s="18">
        <v>373671.44</v>
      </c>
      <c r="I244" s="18">
        <v>2560.9299999999998</v>
      </c>
      <c r="J244" s="18"/>
      <c r="K244" s="18"/>
      <c r="L244" s="19">
        <f t="shared" si="4"/>
        <v>376232.37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3323564.9099999997</v>
      </c>
      <c r="G247" s="41">
        <f t="shared" si="5"/>
        <v>1686391.7799999998</v>
      </c>
      <c r="H247" s="41">
        <f t="shared" si="5"/>
        <v>1234052.57</v>
      </c>
      <c r="I247" s="41">
        <f t="shared" si="5"/>
        <v>249090.27000000002</v>
      </c>
      <c r="J247" s="41">
        <f t="shared" si="5"/>
        <v>44874.83</v>
      </c>
      <c r="K247" s="41">
        <f t="shared" si="5"/>
        <v>36292.160000000003</v>
      </c>
      <c r="L247" s="41">
        <f t="shared" si="5"/>
        <v>6574266.5199999996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2465.46</v>
      </c>
      <c r="G253" s="18">
        <v>410.37</v>
      </c>
      <c r="H253" s="18"/>
      <c r="I253" s="18"/>
      <c r="J253" s="18"/>
      <c r="K253" s="18"/>
      <c r="L253" s="19">
        <f t="shared" si="6"/>
        <v>2875.83</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299223.28000000003</v>
      </c>
      <c r="I255" s="18"/>
      <c r="J255" s="18"/>
      <c r="K255" s="18"/>
      <c r="L255" s="19">
        <f t="shared" si="6"/>
        <v>299223.28000000003</v>
      </c>
      <c r="M255" s="8"/>
      <c r="N255" s="266"/>
    </row>
    <row r="256" spans="1:14" s="3" customFormat="1" ht="12.2" customHeight="1" thickTop="1" thickBot="1" x14ac:dyDescent="0.2">
      <c r="A256" s="38" t="s">
        <v>461</v>
      </c>
      <c r="B256" s="40">
        <v>10</v>
      </c>
      <c r="C256" s="40">
        <v>7</v>
      </c>
      <c r="D256" s="39" t="s">
        <v>431</v>
      </c>
      <c r="E256" s="40"/>
      <c r="F256" s="41">
        <f t="shared" ref="F256:K256" si="7">SUM(F250:F255)</f>
        <v>2465.46</v>
      </c>
      <c r="G256" s="41">
        <f t="shared" si="7"/>
        <v>410.37</v>
      </c>
      <c r="H256" s="41">
        <f t="shared" si="7"/>
        <v>299223.28000000003</v>
      </c>
      <c r="I256" s="41">
        <f t="shared" si="7"/>
        <v>0</v>
      </c>
      <c r="J256" s="41">
        <f t="shared" si="7"/>
        <v>0</v>
      </c>
      <c r="K256" s="41">
        <f t="shared" si="7"/>
        <v>0</v>
      </c>
      <c r="L256" s="41">
        <f>SUM(F256:K256)</f>
        <v>302099.11000000004</v>
      </c>
      <c r="M256" s="8"/>
      <c r="N256" s="266"/>
    </row>
    <row r="257" spans="1:14" s="3" customFormat="1" ht="12.2" customHeight="1" thickTop="1" x14ac:dyDescent="0.15">
      <c r="A257" s="38" t="s">
        <v>462</v>
      </c>
      <c r="B257" s="40">
        <v>10</v>
      </c>
      <c r="C257" s="40">
        <v>8</v>
      </c>
      <c r="D257" s="39" t="s">
        <v>431</v>
      </c>
      <c r="E257" s="40"/>
      <c r="F257" s="41">
        <f t="shared" ref="F257:L257" si="8">F211+F229+F247+F256</f>
        <v>11084062.890000002</v>
      </c>
      <c r="G257" s="41">
        <f t="shared" si="8"/>
        <v>5681338.3299999991</v>
      </c>
      <c r="H257" s="41">
        <f t="shared" si="8"/>
        <v>3392219.12</v>
      </c>
      <c r="I257" s="41">
        <f t="shared" si="8"/>
        <v>713491.92999999993</v>
      </c>
      <c r="J257" s="41">
        <f t="shared" si="8"/>
        <v>141052.49</v>
      </c>
      <c r="K257" s="41">
        <f t="shared" si="8"/>
        <v>50234.600000000006</v>
      </c>
      <c r="L257" s="41">
        <f t="shared" si="8"/>
        <v>21062399.359999996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36203.4</v>
      </c>
      <c r="L263" s="19">
        <f>SUM(F263:K263)</f>
        <v>36203.4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85000</v>
      </c>
      <c r="L266" s="19">
        <f t="shared" si="9"/>
        <v>85000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121203.4</v>
      </c>
      <c r="L270" s="41">
        <f t="shared" si="9"/>
        <v>121203.4</v>
      </c>
      <c r="N270" s="264"/>
    </row>
    <row r="271" spans="1:14" s="3" customFormat="1" ht="12.2" customHeight="1" thickTop="1" x14ac:dyDescent="0.2">
      <c r="A271" s="43" t="s">
        <v>464</v>
      </c>
      <c r="B271" s="40">
        <v>10</v>
      </c>
      <c r="C271" s="40">
        <v>18</v>
      </c>
      <c r="D271" s="39" t="s">
        <v>431</v>
      </c>
      <c r="E271" s="40"/>
      <c r="F271" s="42">
        <f t="shared" ref="F271:L271" si="11">F257+F270</f>
        <v>11084062.890000002</v>
      </c>
      <c r="G271" s="42">
        <f t="shared" si="11"/>
        <v>5681338.3299999991</v>
      </c>
      <c r="H271" s="42">
        <f t="shared" si="11"/>
        <v>3392219.12</v>
      </c>
      <c r="I271" s="42">
        <f t="shared" si="11"/>
        <v>713491.92999999993</v>
      </c>
      <c r="J271" s="42">
        <f t="shared" si="11"/>
        <v>141052.49</v>
      </c>
      <c r="K271" s="42">
        <f t="shared" si="11"/>
        <v>171438</v>
      </c>
      <c r="L271" s="42">
        <f t="shared" si="11"/>
        <v>21183602.759999994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100290.48</v>
      </c>
      <c r="G276" s="18">
        <v>48624.51</v>
      </c>
      <c r="H276" s="18"/>
      <c r="I276" s="18">
        <v>16890.759999999998</v>
      </c>
      <c r="J276" s="18"/>
      <c r="K276" s="18"/>
      <c r="L276" s="19">
        <f>SUM(F276:K276)</f>
        <v>165805.75</v>
      </c>
      <c r="M276" s="8"/>
      <c r="N276" s="266"/>
    </row>
    <row r="277" spans="1:14" s="3" customFormat="1" ht="12.2" customHeight="1" x14ac:dyDescent="0.15">
      <c r="A277" s="1" t="s">
        <v>439</v>
      </c>
      <c r="B277" s="2" t="s">
        <v>357</v>
      </c>
      <c r="C277" s="2" t="s">
        <v>291</v>
      </c>
      <c r="D277" s="2" t="s">
        <v>431</v>
      </c>
      <c r="E277" s="6">
        <v>1200</v>
      </c>
      <c r="F277" s="18">
        <v>113637.34</v>
      </c>
      <c r="G277" s="18">
        <v>83506.649999999994</v>
      </c>
      <c r="H277" s="18">
        <v>2180.11</v>
      </c>
      <c r="I277" s="18">
        <v>12478.78</v>
      </c>
      <c r="J277" s="18">
        <v>33566.589999999997</v>
      </c>
      <c r="K277" s="18"/>
      <c r="L277" s="19">
        <f>SUM(F277:K277)</f>
        <v>245369.46999999997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9990</v>
      </c>
      <c r="G279" s="18">
        <v>2439.1799999999998</v>
      </c>
      <c r="H279" s="18">
        <v>2250</v>
      </c>
      <c r="I279" s="18">
        <v>338.03</v>
      </c>
      <c r="J279" s="18"/>
      <c r="K279" s="18"/>
      <c r="L279" s="19">
        <f>SUM(F279:K279)</f>
        <v>15017.210000000001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12930</v>
      </c>
      <c r="G281" s="18">
        <v>3224.99</v>
      </c>
      <c r="H281" s="18">
        <v>11601.28</v>
      </c>
      <c r="I281" s="18">
        <v>1618.83</v>
      </c>
      <c r="J281" s="18">
        <v>16820.169999999998</v>
      </c>
      <c r="K281" s="18">
        <v>1732.15</v>
      </c>
      <c r="L281" s="19">
        <f t="shared" ref="L281:L287" si="12">SUM(F281:K281)</f>
        <v>47927.42</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35527.040000000001</v>
      </c>
      <c r="K286" s="18"/>
      <c r="L286" s="19">
        <f t="shared" si="12"/>
        <v>35527.040000000001</v>
      </c>
      <c r="M286" s="8"/>
      <c r="N286" s="266"/>
    </row>
    <row r="287" spans="1:14" s="3" customFormat="1" ht="12.2" customHeight="1" x14ac:dyDescent="0.15">
      <c r="A287" s="1" t="s">
        <v>448</v>
      </c>
      <c r="B287" s="2" t="s">
        <v>357</v>
      </c>
      <c r="C287" s="2" t="s">
        <v>300</v>
      </c>
      <c r="D287" s="2" t="s">
        <v>431</v>
      </c>
      <c r="E287" s="6">
        <v>2700</v>
      </c>
      <c r="F287" s="18"/>
      <c r="G287" s="18"/>
      <c r="H287" s="18">
        <v>13495.22</v>
      </c>
      <c r="I287" s="18"/>
      <c r="J287" s="18"/>
      <c r="K287" s="18"/>
      <c r="L287" s="19">
        <f t="shared" si="12"/>
        <v>13495.22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236847.82</v>
      </c>
      <c r="G290" s="42">
        <f t="shared" si="13"/>
        <v>137795.32999999999</v>
      </c>
      <c r="H290" s="42">
        <f t="shared" si="13"/>
        <v>29526.61</v>
      </c>
      <c r="I290" s="42">
        <f t="shared" si="13"/>
        <v>31326.400000000001</v>
      </c>
      <c r="J290" s="42">
        <f t="shared" si="13"/>
        <v>85913.799999999988</v>
      </c>
      <c r="K290" s="42">
        <f t="shared" si="13"/>
        <v>1732.15</v>
      </c>
      <c r="L290" s="41">
        <f t="shared" si="13"/>
        <v>523142.10999999993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86622.56</v>
      </c>
      <c r="G295" s="18">
        <v>49235.88</v>
      </c>
      <c r="H295" s="18">
        <v>569.25</v>
      </c>
      <c r="I295" s="18">
        <v>6317.18</v>
      </c>
      <c r="J295" s="18">
        <v>3182.58</v>
      </c>
      <c r="K295" s="18"/>
      <c r="L295" s="19">
        <f>SUM(F295:K295)</f>
        <v>145927.44999999998</v>
      </c>
      <c r="M295" s="8"/>
      <c r="N295" s="266"/>
    </row>
    <row r="296" spans="1:14" s="3" customFormat="1" ht="12.2" customHeight="1" x14ac:dyDescent="0.15">
      <c r="A296" s="1" t="s">
        <v>439</v>
      </c>
      <c r="B296" s="2" t="s">
        <v>358</v>
      </c>
      <c r="C296" s="2" t="s">
        <v>291</v>
      </c>
      <c r="D296" s="2" t="s">
        <v>431</v>
      </c>
      <c r="E296" s="6">
        <v>1200</v>
      </c>
      <c r="F296" s="18">
        <v>18404.32</v>
      </c>
      <c r="G296" s="18">
        <v>10075.49</v>
      </c>
      <c r="H296" s="18">
        <v>1572.1</v>
      </c>
      <c r="I296" s="18">
        <v>6162.13</v>
      </c>
      <c r="J296" s="18">
        <v>140.87</v>
      </c>
      <c r="K296" s="18"/>
      <c r="L296" s="19">
        <f>SUM(F296:K296)</f>
        <v>36354.909999999996</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f>597</f>
        <v>597</v>
      </c>
      <c r="G298" s="18">
        <v>153</v>
      </c>
      <c r="H298" s="18"/>
      <c r="I298" s="18"/>
      <c r="J298" s="18">
        <v>1499</v>
      </c>
      <c r="K298" s="18">
        <v>600</v>
      </c>
      <c r="L298" s="19">
        <f>SUM(F298:K298)</f>
        <v>2849</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10340</v>
      </c>
      <c r="G301" s="18">
        <v>2469.59</v>
      </c>
      <c r="H301" s="18">
        <v>4884.5600000000004</v>
      </c>
      <c r="I301" s="18">
        <v>1435.74</v>
      </c>
      <c r="J301" s="18">
        <v>12129.18</v>
      </c>
      <c r="K301" s="18">
        <v>1249.07</v>
      </c>
      <c r="L301" s="19">
        <f t="shared" si="14"/>
        <v>32508.140000000003</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v>27227.279999999999</v>
      </c>
      <c r="K305" s="18"/>
      <c r="L305" s="19">
        <f t="shared" si="14"/>
        <v>27227.279999999999</v>
      </c>
      <c r="M305" s="8"/>
      <c r="N305" s="266"/>
    </row>
    <row r="306" spans="1:14" s="3" customFormat="1" ht="12.2" customHeight="1" x14ac:dyDescent="0.15">
      <c r="A306" s="1" t="s">
        <v>448</v>
      </c>
      <c r="B306" s="2" t="s">
        <v>358</v>
      </c>
      <c r="C306" s="2" t="s">
        <v>300</v>
      </c>
      <c r="D306" s="2" t="s">
        <v>431</v>
      </c>
      <c r="E306" s="6">
        <v>2700</v>
      </c>
      <c r="F306" s="18"/>
      <c r="G306" s="18"/>
      <c r="H306" s="18">
        <v>2571</v>
      </c>
      <c r="I306" s="18"/>
      <c r="J306" s="18"/>
      <c r="K306" s="18"/>
      <c r="L306" s="19">
        <f t="shared" si="14"/>
        <v>2571</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115963.88</v>
      </c>
      <c r="G309" s="42">
        <f t="shared" si="15"/>
        <v>61933.959999999992</v>
      </c>
      <c r="H309" s="42">
        <f t="shared" si="15"/>
        <v>9596.91</v>
      </c>
      <c r="I309" s="42">
        <f t="shared" si="15"/>
        <v>13915.050000000001</v>
      </c>
      <c r="J309" s="42">
        <f t="shared" si="15"/>
        <v>44178.91</v>
      </c>
      <c r="K309" s="42">
        <f t="shared" si="15"/>
        <v>1849.07</v>
      </c>
      <c r="L309" s="41">
        <f t="shared" si="15"/>
        <v>247437.78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v>1900.05</v>
      </c>
      <c r="J314" s="18">
        <v>21674.55</v>
      </c>
      <c r="K314" s="18"/>
      <c r="L314" s="19">
        <f>SUM(F314:K314)</f>
        <v>23574.6</v>
      </c>
      <c r="M314" s="8"/>
      <c r="N314" s="266"/>
    </row>
    <row r="315" spans="1:14" s="3" customFormat="1" ht="12.2" customHeight="1" x14ac:dyDescent="0.15">
      <c r="A315" s="1" t="s">
        <v>439</v>
      </c>
      <c r="B315" s="2" t="s">
        <v>359</v>
      </c>
      <c r="C315" s="2" t="s">
        <v>291</v>
      </c>
      <c r="D315" s="2" t="s">
        <v>431</v>
      </c>
      <c r="E315" s="6">
        <v>1200</v>
      </c>
      <c r="F315" s="18">
        <v>32132.5</v>
      </c>
      <c r="G315" s="18">
        <v>11575.41</v>
      </c>
      <c r="H315" s="18">
        <v>1642.78</v>
      </c>
      <c r="I315" s="18">
        <v>6221.27</v>
      </c>
      <c r="J315" s="18">
        <v>10961.15</v>
      </c>
      <c r="K315" s="18"/>
      <c r="L315" s="19">
        <f>SUM(F315:K315)</f>
        <v>62533.110000000008</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f>1195+4468.75</f>
        <v>5663.75</v>
      </c>
      <c r="G317" s="18">
        <f>305+341.86</f>
        <v>646.86</v>
      </c>
      <c r="H317" s="18">
        <v>16399</v>
      </c>
      <c r="I317" s="18">
        <f>504.66+9749.04</f>
        <v>10253.700000000001</v>
      </c>
      <c r="J317" s="18">
        <f>11043.81+6500</f>
        <v>17543.809999999998</v>
      </c>
      <c r="K317" s="18">
        <v>1590</v>
      </c>
      <c r="L317" s="19">
        <f>SUM(F317:K317)</f>
        <v>52097.119999999995</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8630</v>
      </c>
      <c r="G320" s="18">
        <v>2153.38</v>
      </c>
      <c r="H320" s="18">
        <f>2453.4+2317.92</f>
        <v>4771.32</v>
      </c>
      <c r="I320" s="18">
        <v>1647.25</v>
      </c>
      <c r="J320" s="18">
        <v>12674.44</v>
      </c>
      <c r="K320" s="18">
        <v>1305.23</v>
      </c>
      <c r="L320" s="19">
        <f t="shared" si="16"/>
        <v>31181.62</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v>34750.17</v>
      </c>
      <c r="K324" s="18"/>
      <c r="L324" s="19">
        <f t="shared" si="16"/>
        <v>34750.17</v>
      </c>
      <c r="M324" s="8"/>
      <c r="N324" s="266"/>
    </row>
    <row r="325" spans="1:14" s="3" customFormat="1" ht="12.2" customHeight="1" x14ac:dyDescent="0.15">
      <c r="A325" s="1" t="s">
        <v>448</v>
      </c>
      <c r="B325" s="2" t="s">
        <v>359</v>
      </c>
      <c r="C325" s="2" t="s">
        <v>300</v>
      </c>
      <c r="D325" s="2" t="s">
        <v>431</v>
      </c>
      <c r="E325" s="6">
        <v>2700</v>
      </c>
      <c r="F325" s="18"/>
      <c r="G325" s="18"/>
      <c r="H325" s="18">
        <v>4754.83</v>
      </c>
      <c r="I325" s="18"/>
      <c r="J325" s="18"/>
      <c r="K325" s="18"/>
      <c r="L325" s="19">
        <f t="shared" si="16"/>
        <v>4754.83</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46426.25</v>
      </c>
      <c r="G328" s="42">
        <f t="shared" si="17"/>
        <v>14375.650000000001</v>
      </c>
      <c r="H328" s="42">
        <f t="shared" si="17"/>
        <v>27567.93</v>
      </c>
      <c r="I328" s="42">
        <f t="shared" si="17"/>
        <v>20022.27</v>
      </c>
      <c r="J328" s="42">
        <f t="shared" si="17"/>
        <v>97604.12</v>
      </c>
      <c r="K328" s="42">
        <f t="shared" si="17"/>
        <v>2895.23</v>
      </c>
      <c r="L328" s="41">
        <f t="shared" si="17"/>
        <v>208891.44999999998</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399237.95</v>
      </c>
      <c r="G338" s="41">
        <f t="shared" si="20"/>
        <v>214104.93999999997</v>
      </c>
      <c r="H338" s="41">
        <f t="shared" si="20"/>
        <v>66691.450000000012</v>
      </c>
      <c r="I338" s="41">
        <f t="shared" si="20"/>
        <v>65263.72</v>
      </c>
      <c r="J338" s="41">
        <f t="shared" si="20"/>
        <v>227696.83</v>
      </c>
      <c r="K338" s="41">
        <f t="shared" si="20"/>
        <v>6476.4500000000007</v>
      </c>
      <c r="L338" s="41">
        <f t="shared" si="20"/>
        <v>979471.33999999985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399237.95</v>
      </c>
      <c r="G352" s="41">
        <f>G338</f>
        <v>214104.93999999997</v>
      </c>
      <c r="H352" s="41">
        <f>H338</f>
        <v>66691.450000000012</v>
      </c>
      <c r="I352" s="41">
        <f>I338</f>
        <v>65263.72</v>
      </c>
      <c r="J352" s="41">
        <f>J338</f>
        <v>227696.83</v>
      </c>
      <c r="K352" s="47">
        <f>K338+K351</f>
        <v>6476.4500000000007</v>
      </c>
      <c r="L352" s="41">
        <f>L338+L351</f>
        <v>979471.33999999985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100893.44</v>
      </c>
      <c r="G358" s="18">
        <v>30423.66</v>
      </c>
      <c r="H358" s="18">
        <v>6121.78</v>
      </c>
      <c r="I358" s="18">
        <v>108888.23</v>
      </c>
      <c r="J358" s="18">
        <v>7758.2</v>
      </c>
      <c r="K358" s="18">
        <v>343</v>
      </c>
      <c r="L358" s="13">
        <f>SUM(F358:K358)</f>
        <v>254428.31</v>
      </c>
      <c r="N358" s="264"/>
      <c r="R358" s="3"/>
      <c r="S358" s="3"/>
      <c r="T358" s="3"/>
      <c r="U358" s="3"/>
      <c r="V358" s="3"/>
    </row>
    <row r="359" spans="1:22" s="3" customFormat="1" ht="12.2" customHeight="1" x14ac:dyDescent="0.15">
      <c r="A359" s="1" t="s">
        <v>542</v>
      </c>
      <c r="B359" s="2" t="s">
        <v>366</v>
      </c>
      <c r="C359" s="6">
        <v>2</v>
      </c>
      <c r="D359" s="2" t="s">
        <v>431</v>
      </c>
      <c r="E359" s="6"/>
      <c r="F359" s="18">
        <v>59308.57</v>
      </c>
      <c r="G359" s="18">
        <v>23426.2</v>
      </c>
      <c r="H359" s="18">
        <v>8974.68</v>
      </c>
      <c r="I359" s="18">
        <v>66671.39</v>
      </c>
      <c r="J359" s="18">
        <v>0</v>
      </c>
      <c r="K359" s="18">
        <v>213.5</v>
      </c>
      <c r="L359" s="19">
        <f>SUM(F359:K359)</f>
        <v>158594.34000000003</v>
      </c>
      <c r="M359" s="8"/>
      <c r="N359" s="266"/>
    </row>
    <row r="360" spans="1:22" s="3" customFormat="1" ht="12.2" customHeight="1" x14ac:dyDescent="0.15">
      <c r="A360" s="3" t="s">
        <v>543</v>
      </c>
      <c r="B360" s="2" t="s">
        <v>366</v>
      </c>
      <c r="C360" s="6">
        <v>3</v>
      </c>
      <c r="D360" s="2" t="s">
        <v>431</v>
      </c>
      <c r="E360" s="6"/>
      <c r="F360" s="18">
        <v>55573.48</v>
      </c>
      <c r="G360" s="18">
        <v>32784.959999999999</v>
      </c>
      <c r="H360" s="18">
        <v>8107.7</v>
      </c>
      <c r="I360" s="18">
        <v>67030.81</v>
      </c>
      <c r="J360" s="18">
        <v>542.5</v>
      </c>
      <c r="K360" s="18">
        <v>225.5</v>
      </c>
      <c r="L360" s="19">
        <f>SUM(F360:K360)</f>
        <v>164264.95000000001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215775.49000000002</v>
      </c>
      <c r="G362" s="47">
        <f t="shared" si="22"/>
        <v>86634.82</v>
      </c>
      <c r="H362" s="47">
        <f t="shared" si="22"/>
        <v>23204.16</v>
      </c>
      <c r="I362" s="47">
        <f t="shared" si="22"/>
        <v>242590.43</v>
      </c>
      <c r="J362" s="47">
        <f t="shared" si="22"/>
        <v>8300.7000000000007</v>
      </c>
      <c r="K362" s="47">
        <f t="shared" si="22"/>
        <v>782</v>
      </c>
      <c r="L362" s="47">
        <f t="shared" si="22"/>
        <v>577287.60000000009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100388.8</v>
      </c>
      <c r="G367" s="18">
        <v>62807.08</v>
      </c>
      <c r="H367" s="18">
        <v>61378.69</v>
      </c>
      <c r="I367" s="56">
        <f>SUM(F367:H367)</f>
        <v>224574.57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8499.43</v>
      </c>
      <c r="G368" s="63">
        <v>3864.31</v>
      </c>
      <c r="H368" s="63">
        <v>5652.12</v>
      </c>
      <c r="I368" s="56">
        <f>SUM(F368:H368)</f>
        <v>18015.86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108888.23000000001</v>
      </c>
      <c r="G369" s="47">
        <f>SUM(G367:G368)</f>
        <v>66671.39</v>
      </c>
      <c r="H369" s="47">
        <f>SUM(H367:H368)</f>
        <v>67030.81</v>
      </c>
      <c r="I369" s="47">
        <f>SUM(I367:I368)</f>
        <v>242590.43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v>578.23</v>
      </c>
      <c r="I387" s="18"/>
      <c r="J387" s="24" t="s">
        <v>288</v>
      </c>
      <c r="K387" s="24" t="s">
        <v>288</v>
      </c>
      <c r="L387" s="56">
        <f t="shared" ref="L387:L392" si="25">SUM(F387:K387)</f>
        <v>578.23</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578.23</v>
      </c>
      <c r="I393" s="65">
        <f>SUM(I387:I392)</f>
        <v>0</v>
      </c>
      <c r="J393" s="45" t="s">
        <v>288</v>
      </c>
      <c r="K393" s="45" t="s">
        <v>288</v>
      </c>
      <c r="L393" s="47">
        <f>SUM(L387:L392)</f>
        <v>578.23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4776.7700000000004</v>
      </c>
      <c r="I396" s="18"/>
      <c r="J396" s="24" t="s">
        <v>288</v>
      </c>
      <c r="K396" s="24" t="s">
        <v>288</v>
      </c>
      <c r="L396" s="56">
        <f t="shared" si="26"/>
        <v>54776.770000000004</v>
      </c>
      <c r="M396" s="8"/>
      <c r="N396" s="266"/>
    </row>
    <row r="397" spans="1:14" s="3" customFormat="1" ht="12.2" customHeight="1" x14ac:dyDescent="0.15">
      <c r="A397" s="79" t="s">
        <v>515</v>
      </c>
      <c r="B397" s="2" t="s">
        <v>381</v>
      </c>
      <c r="C397" s="6">
        <v>10</v>
      </c>
      <c r="D397" s="2" t="s">
        <v>432</v>
      </c>
      <c r="E397" s="6"/>
      <c r="F397" s="18"/>
      <c r="G397" s="18"/>
      <c r="H397" s="18">
        <v>4836.7700000000004</v>
      </c>
      <c r="I397" s="18"/>
      <c r="J397" s="24" t="s">
        <v>288</v>
      </c>
      <c r="K397" s="24" t="s">
        <v>288</v>
      </c>
      <c r="L397" s="56">
        <f t="shared" si="26"/>
        <v>4836.7700000000004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15000</v>
      </c>
      <c r="H399" s="18">
        <v>1291.58</v>
      </c>
      <c r="I399" s="18"/>
      <c r="J399" s="24" t="s">
        <v>288</v>
      </c>
      <c r="K399" s="24" t="s">
        <v>288</v>
      </c>
      <c r="L399" s="56">
        <f t="shared" si="26"/>
        <v>16291.58</v>
      </c>
      <c r="M399" s="8"/>
      <c r="N399" s="266"/>
    </row>
    <row r="400" spans="1:14" s="3" customFormat="1" ht="12.2" customHeight="1" thickBot="1" x14ac:dyDescent="0.2">
      <c r="A400" s="79" t="s">
        <v>510</v>
      </c>
      <c r="B400" s="2" t="s">
        <v>381</v>
      </c>
      <c r="C400" s="6">
        <v>13</v>
      </c>
      <c r="D400" s="2" t="s">
        <v>432</v>
      </c>
      <c r="E400" s="6"/>
      <c r="F400" s="18"/>
      <c r="G400" s="18">
        <v>20000</v>
      </c>
      <c r="H400" s="18">
        <v>2807.4</v>
      </c>
      <c r="I400" s="18"/>
      <c r="J400" s="24" t="s">
        <v>288</v>
      </c>
      <c r="K400" s="24" t="s">
        <v>288</v>
      </c>
      <c r="L400" s="56">
        <f t="shared" si="26"/>
        <v>22807.4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85000</v>
      </c>
      <c r="H401" s="47">
        <f>SUM(H395:H400)</f>
        <v>13712.52</v>
      </c>
      <c r="I401" s="47">
        <f>SUM(I395:I400)</f>
        <v>0</v>
      </c>
      <c r="J401" s="45" t="s">
        <v>288</v>
      </c>
      <c r="K401" s="45" t="s">
        <v>288</v>
      </c>
      <c r="L401" s="47">
        <f>SUM(L395:L400)</f>
        <v>98712.520000000019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85000</v>
      </c>
      <c r="H408" s="47">
        <f>H393+H401+H407</f>
        <v>14290.75</v>
      </c>
      <c r="I408" s="47">
        <f>I393+I401+I407</f>
        <v>0</v>
      </c>
      <c r="J408" s="24" t="s">
        <v>288</v>
      </c>
      <c r="K408" s="24" t="s">
        <v>288</v>
      </c>
      <c r="L408" s="47">
        <f>L393+L401+L407</f>
        <v>99290.750000000015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v>34125</v>
      </c>
      <c r="L425" s="56">
        <f t="shared" si="29"/>
        <v>34125</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34125</v>
      </c>
      <c r="L427" s="47">
        <f t="shared" si="30"/>
        <v>34125</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34125</v>
      </c>
      <c r="L434" s="47">
        <f t="shared" si="32"/>
        <v>34125</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26203.1</v>
      </c>
      <c r="G440" s="18">
        <v>610115.05000000005</v>
      </c>
      <c r="H440" s="18"/>
      <c r="I440" s="56">
        <f t="shared" si="33"/>
        <v>636318.15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26203.1</v>
      </c>
      <c r="G446" s="13">
        <f>SUM(G439:G445)</f>
        <v>610115.05000000005</v>
      </c>
      <c r="H446" s="13">
        <f>SUM(H439:H445)</f>
        <v>0</v>
      </c>
      <c r="I446" s="13">
        <f>SUM(I439:I445)</f>
        <v>636318.15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26203.1</v>
      </c>
      <c r="G459" s="18">
        <v>610115.05000000005</v>
      </c>
      <c r="H459" s="18"/>
      <c r="I459" s="56">
        <f t="shared" si="34"/>
        <v>636318.15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26203.1</v>
      </c>
      <c r="G460" s="83">
        <f>SUM(G454:G459)</f>
        <v>610115.05000000005</v>
      </c>
      <c r="H460" s="83">
        <f>SUM(H454:H459)</f>
        <v>0</v>
      </c>
      <c r="I460" s="83">
        <f>SUM(I454:I459)</f>
        <v>636318.15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26203.1</v>
      </c>
      <c r="G461" s="42">
        <f>G452+G460</f>
        <v>610115.05000000005</v>
      </c>
      <c r="H461" s="42">
        <f>H452+H460</f>
        <v>0</v>
      </c>
      <c r="I461" s="42">
        <f>I452+I460</f>
        <v>636318.15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1767000.61</v>
      </c>
      <c r="G465" s="18">
        <v>21425.18</v>
      </c>
      <c r="H465" s="18">
        <v>0</v>
      </c>
      <c r="I465" s="18"/>
      <c r="J465" s="18">
        <v>571152.4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20805516.629999999</v>
      </c>
      <c r="G468" s="18">
        <v>585730.51</v>
      </c>
      <c r="H468" s="18">
        <v>979471.34</v>
      </c>
      <c r="I468" s="18"/>
      <c r="J468" s="18">
        <v>99290.75</v>
      </c>
      <c r="K468" s="24" t="s">
        <v>288</v>
      </c>
      <c r="L468" s="24" t="s">
        <v>288</v>
      </c>
      <c r="N468" s="265"/>
    </row>
    <row r="469" spans="1:14" s="52" customFormat="1" ht="12.2" customHeight="1" x14ac:dyDescent="0.2">
      <c r="A469" s="93" t="s">
        <v>611</v>
      </c>
      <c r="B469" s="75">
        <v>19</v>
      </c>
      <c r="C469" s="80">
        <v>3</v>
      </c>
      <c r="D469" s="2" t="s">
        <v>432</v>
      </c>
      <c r="E469" s="80"/>
      <c r="F469" s="18">
        <v>-42164.82</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20763351.809999999</v>
      </c>
      <c r="G470" s="53">
        <f>SUM(G468:G469)</f>
        <v>585730.51</v>
      </c>
      <c r="H470" s="53">
        <f>SUM(H468:H469)</f>
        <v>979471.34</v>
      </c>
      <c r="I470" s="53">
        <f>SUM(I468:I469)</f>
        <v>0</v>
      </c>
      <c r="J470" s="53">
        <f>SUM(J468:J469)</f>
        <v>99290.75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21183602.760000002</v>
      </c>
      <c r="G472" s="18">
        <v>577287.6</v>
      </c>
      <c r="H472" s="18">
        <v>979471.34</v>
      </c>
      <c r="I472" s="18"/>
      <c r="J472" s="18">
        <v>34125</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21183602.760000002</v>
      </c>
      <c r="G474" s="53">
        <f>SUM(G472:G473)</f>
        <v>577287.6</v>
      </c>
      <c r="H474" s="53">
        <f>SUM(H472:H473)</f>
        <v>979471.34</v>
      </c>
      <c r="I474" s="53">
        <f>SUM(I472:I473)</f>
        <v>0</v>
      </c>
      <c r="J474" s="53">
        <f>SUM(J472:J473)</f>
        <v>34125</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1346749.6599999964</v>
      </c>
      <c r="G476" s="53">
        <f>(G465+G470)- G474</f>
        <v>29868.090000000084</v>
      </c>
      <c r="H476" s="53">
        <f>(H465+H470)- H474</f>
        <v>0</v>
      </c>
      <c r="I476" s="53">
        <f>(I465+I470)- I474</f>
        <v>0</v>
      </c>
      <c r="J476" s="53">
        <f>(J465+J470)- J474</f>
        <v>636318.15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1610</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694160.99</v>
      </c>
      <c r="G521" s="18">
        <v>401195.84</v>
      </c>
      <c r="H521" s="18">
        <v>40524.080000000002</v>
      </c>
      <c r="I521" s="18">
        <v>13152.81</v>
      </c>
      <c r="J521" s="18">
        <v>33953.46</v>
      </c>
      <c r="K521" s="18"/>
      <c r="L521" s="88">
        <f>SUM(F521:K521)</f>
        <v>1182987.1800000002</v>
      </c>
      <c r="N521" s="265"/>
    </row>
    <row r="522" spans="1:14" s="52" customFormat="1" ht="12.2" customHeight="1" x14ac:dyDescent="0.2">
      <c r="A522" s="22" t="s">
        <v>634</v>
      </c>
      <c r="B522" s="105">
        <v>21</v>
      </c>
      <c r="C522" s="115">
        <v>2</v>
      </c>
      <c r="D522" s="2" t="s">
        <v>432</v>
      </c>
      <c r="E522" s="115"/>
      <c r="F522" s="18">
        <v>367118.49</v>
      </c>
      <c r="G522" s="18">
        <v>231564.25</v>
      </c>
      <c r="H522" s="18">
        <v>206045.65</v>
      </c>
      <c r="I522" s="18">
        <v>6308.54</v>
      </c>
      <c r="J522" s="18">
        <v>140.87</v>
      </c>
      <c r="K522" s="18"/>
      <c r="L522" s="88">
        <f>SUM(F522:K522)</f>
        <v>811177.8</v>
      </c>
      <c r="N522" s="265"/>
    </row>
    <row r="523" spans="1:14" s="52" customFormat="1" ht="12.2" customHeight="1" thickBot="1" x14ac:dyDescent="0.25">
      <c r="A523" s="22" t="s">
        <v>635</v>
      </c>
      <c r="B523" s="105">
        <v>21</v>
      </c>
      <c r="C523" s="115">
        <v>3</v>
      </c>
      <c r="D523" s="2" t="s">
        <v>432</v>
      </c>
      <c r="E523" s="115"/>
      <c r="F523" s="18">
        <v>454570.49</v>
      </c>
      <c r="G523" s="18">
        <v>23997.71</v>
      </c>
      <c r="H523" s="18">
        <v>243464</v>
      </c>
      <c r="I523" s="18">
        <v>9651.6</v>
      </c>
      <c r="J523" s="18">
        <v>10961.15</v>
      </c>
      <c r="K523" s="18"/>
      <c r="L523" s="88">
        <f>SUM(F523:K523)</f>
        <v>742644.95</v>
      </c>
      <c r="N523" s="265"/>
    </row>
    <row r="524" spans="1:14" s="52" customFormat="1" ht="12.2" customHeight="1" thickTop="1" x14ac:dyDescent="0.2">
      <c r="A524" s="139" t="s">
        <v>63</v>
      </c>
      <c r="B524" s="107">
        <v>21</v>
      </c>
      <c r="C524" s="195">
        <v>4</v>
      </c>
      <c r="D524" s="196" t="s">
        <v>432</v>
      </c>
      <c r="E524" s="195"/>
      <c r="F524" s="108">
        <f>SUM(F521:F523)</f>
        <v>1515849.97</v>
      </c>
      <c r="G524" s="108">
        <f t="shared" ref="G524:L524" si="36">SUM(G521:G523)</f>
        <v>656757.80000000005</v>
      </c>
      <c r="H524" s="108">
        <f t="shared" si="36"/>
        <v>490033.73</v>
      </c>
      <c r="I524" s="108">
        <f t="shared" si="36"/>
        <v>29112.949999999997</v>
      </c>
      <c r="J524" s="108">
        <f t="shared" si="36"/>
        <v>45055.48</v>
      </c>
      <c r="K524" s="108">
        <f t="shared" si="36"/>
        <v>0</v>
      </c>
      <c r="L524" s="89">
        <f t="shared" si="36"/>
        <v>2736809.93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317523.92</v>
      </c>
      <c r="G526" s="18">
        <v>161975.82</v>
      </c>
      <c r="H526" s="18">
        <v>33674</v>
      </c>
      <c r="I526" s="18"/>
      <c r="J526" s="18"/>
      <c r="K526" s="18"/>
      <c r="L526" s="88">
        <f>SUM(F526:K526)</f>
        <v>513173.74</v>
      </c>
      <c r="M526" s="8"/>
      <c r="N526" s="266"/>
    </row>
    <row r="527" spans="1:14" s="3" customFormat="1" ht="12.2" customHeight="1" x14ac:dyDescent="0.15">
      <c r="A527" s="22" t="s">
        <v>634</v>
      </c>
      <c r="B527" s="105">
        <v>21</v>
      </c>
      <c r="C527" s="115">
        <v>6</v>
      </c>
      <c r="D527" s="2" t="s">
        <v>432</v>
      </c>
      <c r="E527" s="115"/>
      <c r="F527" s="18">
        <v>68913.72</v>
      </c>
      <c r="G527" s="18">
        <v>32384.68</v>
      </c>
      <c r="H527" s="18">
        <v>8423.5</v>
      </c>
      <c r="I527" s="18"/>
      <c r="J527" s="18"/>
      <c r="K527" s="18"/>
      <c r="L527" s="88">
        <f>SUM(F527:K527)</f>
        <v>109721.9</v>
      </c>
      <c r="M527" s="8"/>
      <c r="N527" s="266"/>
    </row>
    <row r="528" spans="1:14" s="3" customFormat="1" ht="12.2" customHeight="1" thickBot="1" x14ac:dyDescent="0.2">
      <c r="A528" s="22" t="s">
        <v>635</v>
      </c>
      <c r="B528" s="118">
        <v>21</v>
      </c>
      <c r="C528" s="118">
        <v>7</v>
      </c>
      <c r="D528" s="2" t="s">
        <v>432</v>
      </c>
      <c r="E528" s="118"/>
      <c r="F528" s="18">
        <v>58990.26</v>
      </c>
      <c r="G528" s="18">
        <v>29859.1</v>
      </c>
      <c r="H528" s="18">
        <v>4658</v>
      </c>
      <c r="I528" s="18"/>
      <c r="J528" s="18"/>
      <c r="K528" s="18"/>
      <c r="L528" s="88">
        <f>SUM(F528:K528)</f>
        <v>93507.36</v>
      </c>
      <c r="M528" s="8"/>
      <c r="N528" s="266"/>
    </row>
    <row r="529" spans="1:14" s="3" customFormat="1" ht="12.2" customHeight="1" thickTop="1" x14ac:dyDescent="0.15">
      <c r="A529" s="139" t="s">
        <v>65</v>
      </c>
      <c r="B529" s="107">
        <v>21</v>
      </c>
      <c r="C529" s="107">
        <v>8</v>
      </c>
      <c r="D529" s="158" t="s">
        <v>432</v>
      </c>
      <c r="E529" s="107"/>
      <c r="F529" s="89">
        <f>SUM(F526:F528)</f>
        <v>445427.9</v>
      </c>
      <c r="G529" s="89">
        <f t="shared" ref="G529:L529" si="37">SUM(G526:G528)</f>
        <v>224219.6</v>
      </c>
      <c r="H529" s="89">
        <f t="shared" si="37"/>
        <v>46755.5</v>
      </c>
      <c r="I529" s="89">
        <f t="shared" si="37"/>
        <v>0</v>
      </c>
      <c r="J529" s="89">
        <f t="shared" si="37"/>
        <v>0</v>
      </c>
      <c r="K529" s="89">
        <f t="shared" si="37"/>
        <v>0</v>
      </c>
      <c r="L529" s="89">
        <f t="shared" si="37"/>
        <v>716403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45247.54</v>
      </c>
      <c r="G531" s="18">
        <v>18627.29</v>
      </c>
      <c r="H531" s="18">
        <v>180201.19</v>
      </c>
      <c r="I531" s="18">
        <v>2621.36</v>
      </c>
      <c r="J531" s="18">
        <v>48.49</v>
      </c>
      <c r="K531" s="18">
        <v>436.43</v>
      </c>
      <c r="L531" s="88">
        <f>SUM(F531:K531)</f>
        <v>247182.3</v>
      </c>
      <c r="M531" s="8"/>
      <c r="N531" s="266"/>
    </row>
    <row r="532" spans="1:14" s="3" customFormat="1" ht="12.2" customHeight="1" x14ac:dyDescent="0.15">
      <c r="A532" s="22" t="s">
        <v>634</v>
      </c>
      <c r="B532" s="105">
        <v>21</v>
      </c>
      <c r="C532" s="105">
        <v>10</v>
      </c>
      <c r="D532" s="2" t="s">
        <v>432</v>
      </c>
      <c r="E532" s="105"/>
      <c r="F532" s="18">
        <v>32628.39</v>
      </c>
      <c r="G532" s="18">
        <v>13432.3</v>
      </c>
      <c r="H532" s="18">
        <v>37080.61</v>
      </c>
      <c r="I532" s="18">
        <v>1890.29</v>
      </c>
      <c r="J532" s="18">
        <v>34.97</v>
      </c>
      <c r="K532" s="18">
        <v>314.70999999999998</v>
      </c>
      <c r="L532" s="88">
        <f>SUM(F532:K532)</f>
        <v>85381.27</v>
      </c>
      <c r="M532" s="8"/>
      <c r="N532" s="266"/>
    </row>
    <row r="533" spans="1:14" s="3" customFormat="1" ht="12.2" customHeight="1" thickBot="1" x14ac:dyDescent="0.2">
      <c r="A533" s="22" t="s">
        <v>635</v>
      </c>
      <c r="B533" s="105">
        <v>21</v>
      </c>
      <c r="C533" s="105">
        <v>11</v>
      </c>
      <c r="D533" s="2" t="s">
        <v>432</v>
      </c>
      <c r="E533" s="105"/>
      <c r="F533" s="18">
        <v>34095.19</v>
      </c>
      <c r="G533" s="18">
        <v>14036.13</v>
      </c>
      <c r="H533" s="18">
        <v>78559.34</v>
      </c>
      <c r="I533" s="18">
        <v>1975.27</v>
      </c>
      <c r="J533" s="18">
        <v>36.53</v>
      </c>
      <c r="K533" s="18">
        <v>328.86</v>
      </c>
      <c r="L533" s="88">
        <f>SUM(F533:K533)</f>
        <v>129031.32</v>
      </c>
      <c r="M533" s="8"/>
      <c r="N533" s="266"/>
    </row>
    <row r="534" spans="1:14" s="3" customFormat="1" ht="12.2" customHeight="1" thickTop="1" x14ac:dyDescent="0.15">
      <c r="A534" s="139" t="s">
        <v>67</v>
      </c>
      <c r="B534" s="107">
        <v>21</v>
      </c>
      <c r="C534" s="107">
        <v>12</v>
      </c>
      <c r="D534" s="158" t="s">
        <v>432</v>
      </c>
      <c r="E534" s="107"/>
      <c r="F534" s="89">
        <f>SUM(F531:F533)</f>
        <v>111971.12</v>
      </c>
      <c r="G534" s="89">
        <f t="shared" ref="G534:L534" si="38">SUM(G531:G533)</f>
        <v>46095.72</v>
      </c>
      <c r="H534" s="89">
        <f t="shared" si="38"/>
        <v>295841.14</v>
      </c>
      <c r="I534" s="89">
        <f t="shared" si="38"/>
        <v>6486.92</v>
      </c>
      <c r="J534" s="89">
        <f t="shared" si="38"/>
        <v>119.99000000000001</v>
      </c>
      <c r="K534" s="89">
        <f t="shared" si="38"/>
        <v>1080</v>
      </c>
      <c r="L534" s="89">
        <f t="shared" si="38"/>
        <v>461594.89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v>1351</v>
      </c>
      <c r="I537" s="18"/>
      <c r="J537" s="18"/>
      <c r="K537" s="18"/>
      <c r="L537" s="88">
        <f>SUM(F537:K537)</f>
        <v>1351</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1351</v>
      </c>
      <c r="I539" s="89">
        <f t="shared" si="39"/>
        <v>0</v>
      </c>
      <c r="J539" s="89">
        <f t="shared" si="39"/>
        <v>0</v>
      </c>
      <c r="K539" s="89">
        <f t="shared" si="39"/>
        <v>0</v>
      </c>
      <c r="L539" s="89">
        <f t="shared" si="39"/>
        <v>1351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63874.92</v>
      </c>
      <c r="I541" s="18"/>
      <c r="J541" s="18"/>
      <c r="K541" s="18"/>
      <c r="L541" s="88">
        <f>SUM(F541:K541)</f>
        <v>63874.92</v>
      </c>
      <c r="M541" s="8"/>
      <c r="N541" s="266"/>
    </row>
    <row r="542" spans="1:14" s="3" customFormat="1" ht="12.2" customHeight="1" x14ac:dyDescent="0.15">
      <c r="A542" s="22" t="s">
        <v>634</v>
      </c>
      <c r="B542" s="105">
        <v>21</v>
      </c>
      <c r="C542" s="105">
        <v>18</v>
      </c>
      <c r="D542" s="2" t="s">
        <v>432</v>
      </c>
      <c r="E542" s="105"/>
      <c r="F542" s="18"/>
      <c r="G542" s="18"/>
      <c r="H542" s="18">
        <v>78917.89</v>
      </c>
      <c r="I542" s="18"/>
      <c r="J542" s="18"/>
      <c r="K542" s="18"/>
      <c r="L542" s="88">
        <f>SUM(F542:K542)</f>
        <v>78917.89</v>
      </c>
      <c r="M542" s="8"/>
      <c r="N542" s="266"/>
    </row>
    <row r="543" spans="1:14" s="3" customFormat="1" ht="12.2" customHeight="1" thickBot="1" x14ac:dyDescent="0.2">
      <c r="A543" s="22" t="s">
        <v>635</v>
      </c>
      <c r="B543" s="105">
        <v>21</v>
      </c>
      <c r="C543" s="105">
        <v>19</v>
      </c>
      <c r="D543" s="2" t="s">
        <v>432</v>
      </c>
      <c r="E543" s="105"/>
      <c r="F543" s="18"/>
      <c r="G543" s="18"/>
      <c r="H543" s="18">
        <v>63583.27</v>
      </c>
      <c r="I543" s="18">
        <v>2560.9299999999998</v>
      </c>
      <c r="J543" s="18"/>
      <c r="K543" s="18"/>
      <c r="L543" s="88">
        <f>SUM(F543:K543)</f>
        <v>66144.2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206376.08</v>
      </c>
      <c r="I544" s="193">
        <f t="shared" si="40"/>
        <v>2560.9299999999998</v>
      </c>
      <c r="J544" s="193">
        <f t="shared" si="40"/>
        <v>0</v>
      </c>
      <c r="K544" s="193">
        <f t="shared" si="40"/>
        <v>0</v>
      </c>
      <c r="L544" s="193">
        <f t="shared" si="40"/>
        <v>208937.01</v>
      </c>
      <c r="M544" s="8"/>
      <c r="N544" s="266"/>
    </row>
    <row r="545" spans="1:14" s="3" customFormat="1" ht="12.2" customHeight="1" thickTop="1" x14ac:dyDescent="0.15">
      <c r="A545" s="98" t="s">
        <v>72</v>
      </c>
      <c r="B545" s="107">
        <v>21</v>
      </c>
      <c r="C545" s="107">
        <v>21</v>
      </c>
      <c r="D545" s="158" t="s">
        <v>432</v>
      </c>
      <c r="E545" s="107"/>
      <c r="F545" s="89">
        <f>F524+F529+F534+F539+F544</f>
        <v>2073248.9900000002</v>
      </c>
      <c r="G545" s="89">
        <f t="shared" ref="G545:L545" si="41">G524+G529+G534+G539+G544</f>
        <v>927073.12</v>
      </c>
      <c r="H545" s="89">
        <f t="shared" si="41"/>
        <v>1040357.45</v>
      </c>
      <c r="I545" s="89">
        <f t="shared" si="41"/>
        <v>38160.799999999996</v>
      </c>
      <c r="J545" s="89">
        <f t="shared" si="41"/>
        <v>45175.47</v>
      </c>
      <c r="K545" s="89">
        <f t="shared" si="41"/>
        <v>1080</v>
      </c>
      <c r="L545" s="89">
        <f t="shared" si="41"/>
        <v>4125095.83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1182987.1800000002</v>
      </c>
      <c r="G549" s="87">
        <f>L526</f>
        <v>513173.74</v>
      </c>
      <c r="H549" s="87">
        <f>L531</f>
        <v>247182.3</v>
      </c>
      <c r="I549" s="87">
        <f>L536</f>
        <v>0</v>
      </c>
      <c r="J549" s="87">
        <f>L541</f>
        <v>63874.92</v>
      </c>
      <c r="K549" s="87">
        <f>SUM(F549:J549)</f>
        <v>2007218.1400000001</v>
      </c>
      <c r="L549" s="24" t="s">
        <v>288</v>
      </c>
      <c r="M549" s="8"/>
      <c r="N549" s="266"/>
    </row>
    <row r="550" spans="1:14" s="3" customFormat="1" ht="12.2" customHeight="1" x14ac:dyDescent="0.15">
      <c r="A550" s="22" t="s">
        <v>634</v>
      </c>
      <c r="B550" s="75">
        <v>21</v>
      </c>
      <c r="C550" s="75">
        <v>23</v>
      </c>
      <c r="D550" s="2" t="s">
        <v>432</v>
      </c>
      <c r="E550" s="75"/>
      <c r="F550" s="87">
        <f>L522</f>
        <v>811177.8</v>
      </c>
      <c r="G550" s="87">
        <f>L527</f>
        <v>109721.9</v>
      </c>
      <c r="H550" s="87">
        <f>L532</f>
        <v>85381.27</v>
      </c>
      <c r="I550" s="87">
        <f>L537</f>
        <v>1351</v>
      </c>
      <c r="J550" s="87">
        <f>L542</f>
        <v>78917.89</v>
      </c>
      <c r="K550" s="87">
        <f>SUM(F550:J550)</f>
        <v>1086549.8600000001</v>
      </c>
      <c r="L550" s="24" t="s">
        <v>288</v>
      </c>
      <c r="M550" s="8"/>
      <c r="N550" s="266"/>
    </row>
    <row r="551" spans="1:14" s="3" customFormat="1" ht="12.2" customHeight="1" thickBot="1" x14ac:dyDescent="0.2">
      <c r="A551" s="22" t="s">
        <v>635</v>
      </c>
      <c r="B551" s="75">
        <v>21</v>
      </c>
      <c r="C551" s="75">
        <v>24</v>
      </c>
      <c r="D551" s="2" t="s">
        <v>432</v>
      </c>
      <c r="E551" s="75"/>
      <c r="F551" s="87">
        <f>L523</f>
        <v>742644.95</v>
      </c>
      <c r="G551" s="87">
        <f>L528</f>
        <v>93507.36</v>
      </c>
      <c r="H551" s="87">
        <f>L533</f>
        <v>129031.32</v>
      </c>
      <c r="I551" s="87">
        <f>L538</f>
        <v>0</v>
      </c>
      <c r="J551" s="87">
        <f>L543</f>
        <v>66144.2</v>
      </c>
      <c r="K551" s="87">
        <f>SUM(F551:J551)</f>
        <v>1031327.8299999998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2736809.93</v>
      </c>
      <c r="G552" s="89">
        <f t="shared" si="42"/>
        <v>716403</v>
      </c>
      <c r="H552" s="89">
        <f t="shared" si="42"/>
        <v>461594.89</v>
      </c>
      <c r="I552" s="89">
        <f t="shared" si="42"/>
        <v>1351</v>
      </c>
      <c r="J552" s="89">
        <f t="shared" si="42"/>
        <v>208937.01</v>
      </c>
      <c r="K552" s="89">
        <f t="shared" si="42"/>
        <v>4125095.83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5927.08</v>
      </c>
      <c r="G562" s="18">
        <v>2027.56</v>
      </c>
      <c r="H562" s="18"/>
      <c r="I562" s="18"/>
      <c r="J562" s="18"/>
      <c r="K562" s="18"/>
      <c r="L562" s="88">
        <f>SUM(F562:K562)</f>
        <v>7954.6399999999994</v>
      </c>
      <c r="M562" s="8"/>
      <c r="N562" s="266"/>
    </row>
    <row r="563" spans="1:14" s="3" customFormat="1" ht="12.2" customHeight="1" x14ac:dyDescent="0.15">
      <c r="A563" s="22" t="s">
        <v>634</v>
      </c>
      <c r="B563" s="105">
        <v>22</v>
      </c>
      <c r="C563" s="115">
        <v>6</v>
      </c>
      <c r="D563" s="2" t="s">
        <v>432</v>
      </c>
      <c r="E563" s="115"/>
      <c r="F563" s="18">
        <v>4274.07</v>
      </c>
      <c r="G563" s="18">
        <v>1462.11</v>
      </c>
      <c r="H563" s="18"/>
      <c r="I563" s="18"/>
      <c r="J563" s="18"/>
      <c r="K563" s="18"/>
      <c r="L563" s="88">
        <f>SUM(F563:K563)</f>
        <v>5736.1799999999994</v>
      </c>
      <c r="M563" s="8"/>
      <c r="N563" s="266"/>
    </row>
    <row r="564" spans="1:14" s="3" customFormat="1" ht="12.2" customHeight="1" thickBot="1" x14ac:dyDescent="0.2">
      <c r="A564" s="22" t="s">
        <v>635</v>
      </c>
      <c r="B564" s="105">
        <v>22</v>
      </c>
      <c r="C564" s="118">
        <v>7</v>
      </c>
      <c r="D564" s="2" t="s">
        <v>432</v>
      </c>
      <c r="E564" s="118"/>
      <c r="F564" s="18">
        <v>4466.21</v>
      </c>
      <c r="G564" s="18">
        <v>1527.83</v>
      </c>
      <c r="H564" s="18"/>
      <c r="I564" s="18"/>
      <c r="J564" s="18"/>
      <c r="K564" s="18"/>
      <c r="L564" s="88">
        <f>SUM(F564:K564)</f>
        <v>5994.04</v>
      </c>
      <c r="M564" s="8"/>
      <c r="N564" s="266"/>
    </row>
    <row r="565" spans="1:14" s="3" customFormat="1" ht="12.2" customHeight="1" thickTop="1" x14ac:dyDescent="0.15">
      <c r="A565" s="139" t="s">
        <v>65</v>
      </c>
      <c r="B565" s="107">
        <v>22</v>
      </c>
      <c r="C565" s="107">
        <v>8</v>
      </c>
      <c r="D565" s="196" t="s">
        <v>432</v>
      </c>
      <c r="E565" s="107"/>
      <c r="F565" s="89">
        <f t="shared" ref="F565:L565" si="44">SUM(F562:F564)</f>
        <v>14667.36</v>
      </c>
      <c r="G565" s="89">
        <f t="shared" si="44"/>
        <v>5017.5</v>
      </c>
      <c r="H565" s="89">
        <f t="shared" si="44"/>
        <v>0</v>
      </c>
      <c r="I565" s="89">
        <f t="shared" si="44"/>
        <v>0</v>
      </c>
      <c r="J565" s="89">
        <f t="shared" si="44"/>
        <v>0</v>
      </c>
      <c r="K565" s="89">
        <f t="shared" si="44"/>
        <v>0</v>
      </c>
      <c r="L565" s="89">
        <f t="shared" si="44"/>
        <v>19684.86</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56484.86</v>
      </c>
      <c r="G567" s="18">
        <v>19359.78</v>
      </c>
      <c r="H567" s="18">
        <v>400</v>
      </c>
      <c r="I567" s="18">
        <v>458.51</v>
      </c>
      <c r="J567" s="18"/>
      <c r="K567" s="18"/>
      <c r="L567" s="88">
        <f>SUM(F567:K567)</f>
        <v>76703.149999999994</v>
      </c>
      <c r="M567" s="8"/>
      <c r="N567" s="266"/>
    </row>
    <row r="568" spans="1:14" s="3" customFormat="1" ht="12.2" customHeight="1" x14ac:dyDescent="0.15">
      <c r="A568" s="22" t="s">
        <v>634</v>
      </c>
      <c r="B568" s="105">
        <v>22</v>
      </c>
      <c r="C568" s="105">
        <v>10</v>
      </c>
      <c r="D568" s="2" t="s">
        <v>432</v>
      </c>
      <c r="E568" s="105"/>
      <c r="F568" s="18">
        <v>14121.14</v>
      </c>
      <c r="G568" s="18">
        <v>4993.8900000000003</v>
      </c>
      <c r="H568" s="18">
        <v>400</v>
      </c>
      <c r="I568" s="18">
        <v>702.46</v>
      </c>
      <c r="J568" s="18">
        <v>386.91</v>
      </c>
      <c r="K568" s="18"/>
      <c r="L568" s="88">
        <f>SUM(F568:K568)</f>
        <v>20604.399999999998</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70606</v>
      </c>
      <c r="G570" s="193">
        <f t="shared" ref="G570:L570" si="45">SUM(G567:G569)</f>
        <v>24353.67</v>
      </c>
      <c r="H570" s="193">
        <f t="shared" si="45"/>
        <v>800</v>
      </c>
      <c r="I570" s="193">
        <f t="shared" si="45"/>
        <v>1160.97</v>
      </c>
      <c r="J570" s="193">
        <f t="shared" si="45"/>
        <v>386.91</v>
      </c>
      <c r="K570" s="193">
        <f t="shared" si="45"/>
        <v>0</v>
      </c>
      <c r="L570" s="193">
        <f t="shared" si="45"/>
        <v>97307.549999999988</v>
      </c>
      <c r="M570" s="8"/>
      <c r="N570" s="266"/>
    </row>
    <row r="571" spans="1:14" s="3" customFormat="1" ht="12.2" customHeight="1" thickTop="1" x14ac:dyDescent="0.15">
      <c r="A571" s="98" t="s">
        <v>88</v>
      </c>
      <c r="B571" s="107">
        <v>22</v>
      </c>
      <c r="C571" s="107">
        <v>13</v>
      </c>
      <c r="D571" s="158" t="s">
        <v>432</v>
      </c>
      <c r="E571" s="107"/>
      <c r="F571" s="89">
        <f>F560+F565+F570</f>
        <v>85273.36</v>
      </c>
      <c r="G571" s="89">
        <f t="shared" ref="G571:L571" si="46">G560+G565+G570</f>
        <v>29371.17</v>
      </c>
      <c r="H571" s="89">
        <f t="shared" si="46"/>
        <v>800</v>
      </c>
      <c r="I571" s="89">
        <f t="shared" si="46"/>
        <v>1160.97</v>
      </c>
      <c r="J571" s="89">
        <f t="shared" si="46"/>
        <v>386.91</v>
      </c>
      <c r="K571" s="89">
        <f t="shared" si="46"/>
        <v>0</v>
      </c>
      <c r="L571" s="89">
        <f t="shared" si="46"/>
        <v>116992.40999999999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37833.620000000003</v>
      </c>
      <c r="G579" s="18">
        <v>204473.55</v>
      </c>
      <c r="H579" s="18">
        <f>241320.01+560</f>
        <v>241880.01</v>
      </c>
      <c r="I579" s="87">
        <f t="shared" si="47"/>
        <v>484187.18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154610.46</v>
      </c>
      <c r="I584" s="87">
        <f t="shared" si="47"/>
        <v>154610.46</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254783.47</v>
      </c>
      <c r="I591" s="18">
        <v>183726.57</v>
      </c>
      <c r="J591" s="18">
        <v>191986.06</v>
      </c>
      <c r="K591" s="104">
        <f t="shared" ref="K591:K597" si="48">SUM(H591:J591)</f>
        <v>630496.10000000009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51078.9</v>
      </c>
      <c r="I592" s="18">
        <v>76346.89</v>
      </c>
      <c r="J592" s="18">
        <f>62296.87+2560.93</f>
        <v>64857.8</v>
      </c>
      <c r="K592" s="104">
        <f t="shared" si="48"/>
        <v>192283.59000000003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65786.28</v>
      </c>
      <c r="K593" s="104">
        <f t="shared" si="48"/>
        <v>65786.28</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11376.25</v>
      </c>
      <c r="J594" s="18">
        <v>30639.68</v>
      </c>
      <c r="K594" s="104">
        <f t="shared" si="48"/>
        <v>42015.93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9594.89</v>
      </c>
      <c r="I595" s="18">
        <v>4322.18</v>
      </c>
      <c r="J595" s="18">
        <v>12550.81</v>
      </c>
      <c r="K595" s="104">
        <f t="shared" si="48"/>
        <v>26467.879999999997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v>4169.8500000000004</v>
      </c>
      <c r="J597" s="18">
        <v>10411.74</v>
      </c>
      <c r="K597" s="104">
        <f t="shared" si="48"/>
        <v>14581.59</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315457.26</v>
      </c>
      <c r="I598" s="108">
        <f>SUM(I591:I597)</f>
        <v>279941.74</v>
      </c>
      <c r="J598" s="108">
        <f>SUM(J591:J597)</f>
        <v>376232.37</v>
      </c>
      <c r="K598" s="108">
        <f>SUM(K591:K597)</f>
        <v>971631.37000000023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152858.6-7758.2</f>
        <v>145100.4</v>
      </c>
      <c r="I604" s="18">
        <v>81169.97</v>
      </c>
      <c r="J604" s="18">
        <f>143021.45-542.5</f>
        <v>142478.95000000001</v>
      </c>
      <c r="K604" s="104">
        <f>SUM(H604:J604)</f>
        <v>368749.32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145100.4</v>
      </c>
      <c r="I605" s="108">
        <f>SUM(I602:I604)</f>
        <v>81169.97</v>
      </c>
      <c r="J605" s="108">
        <f>SUM(J602:J604)</f>
        <v>142478.95000000001</v>
      </c>
      <c r="K605" s="108">
        <f>SUM(K602:K604)</f>
        <v>368749.32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9990</v>
      </c>
      <c r="G611" s="18">
        <v>2439.1799999999998</v>
      </c>
      <c r="H611" s="18"/>
      <c r="I611" s="18">
        <v>338.03</v>
      </c>
      <c r="J611" s="18"/>
      <c r="K611" s="18"/>
      <c r="L611" s="88">
        <f>SUM(F611:K611)</f>
        <v>12767.210000000001</v>
      </c>
      <c r="M611" s="8"/>
      <c r="N611" s="266"/>
    </row>
    <row r="612" spans="1:14" s="3" customFormat="1" ht="12.2" customHeight="1" x14ac:dyDescent="0.15">
      <c r="A612" s="22" t="s">
        <v>634</v>
      </c>
      <c r="B612" s="75">
        <v>23</v>
      </c>
      <c r="C612" s="75">
        <v>14</v>
      </c>
      <c r="D612" s="2" t="s">
        <v>432</v>
      </c>
      <c r="E612" s="75"/>
      <c r="F612" s="18">
        <v>10125</v>
      </c>
      <c r="G612" s="18">
        <v>2591.8200000000002</v>
      </c>
      <c r="H612" s="18"/>
      <c r="I612" s="18"/>
      <c r="J612" s="18"/>
      <c r="K612" s="18"/>
      <c r="L612" s="88">
        <f>SUM(F612:K612)</f>
        <v>12716.82</v>
      </c>
      <c r="M612" s="8"/>
      <c r="N612" s="266"/>
    </row>
    <row r="613" spans="1:14" s="3" customFormat="1" ht="12.2" customHeight="1" thickBot="1" x14ac:dyDescent="0.2">
      <c r="A613" s="22" t="s">
        <v>645</v>
      </c>
      <c r="B613" s="75">
        <v>23</v>
      </c>
      <c r="C613" s="75">
        <v>15</v>
      </c>
      <c r="D613" s="2" t="s">
        <v>432</v>
      </c>
      <c r="E613" s="75"/>
      <c r="F613" s="18">
        <v>4320</v>
      </c>
      <c r="G613" s="18">
        <v>1105.8399999999999</v>
      </c>
      <c r="H613" s="18"/>
      <c r="I613" s="18"/>
      <c r="J613" s="18"/>
      <c r="K613" s="18"/>
      <c r="L613" s="88">
        <f>SUM(F613:K613)</f>
        <v>5425.84</v>
      </c>
      <c r="M613" s="8"/>
      <c r="N613" s="266"/>
    </row>
    <row r="614" spans="1:14" s="3" customFormat="1" ht="12.2" customHeight="1" thickTop="1" x14ac:dyDescent="0.15">
      <c r="A614" s="98" t="s">
        <v>340</v>
      </c>
      <c r="B614" s="107">
        <v>23</v>
      </c>
      <c r="C614" s="107">
        <v>16</v>
      </c>
      <c r="D614" s="39" t="s">
        <v>432</v>
      </c>
      <c r="E614" s="107"/>
      <c r="F614" s="108">
        <f t="shared" ref="F614:L614" si="49">SUM(F611:F613)</f>
        <v>24435</v>
      </c>
      <c r="G614" s="108">
        <f t="shared" si="49"/>
        <v>6136.84</v>
      </c>
      <c r="H614" s="108">
        <f t="shared" si="49"/>
        <v>0</v>
      </c>
      <c r="I614" s="108">
        <f t="shared" si="49"/>
        <v>338.03</v>
      </c>
      <c r="J614" s="108">
        <f t="shared" si="49"/>
        <v>0</v>
      </c>
      <c r="K614" s="108">
        <f t="shared" si="49"/>
        <v>0</v>
      </c>
      <c r="L614" s="89">
        <f t="shared" si="49"/>
        <v>30909.87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1470019.45</v>
      </c>
      <c r="H617" s="109">
        <f>SUM(F52)</f>
        <v>1470019.4300000002</v>
      </c>
      <c r="I617" s="121" t="s">
        <v>875</v>
      </c>
      <c r="J617" s="109">
        <f>G617-H617</f>
        <v>1.9999999785795808E-2</v>
      </c>
      <c r="K617" s="109"/>
      <c r="L617" s="109"/>
      <c r="M617" s="8"/>
    </row>
    <row r="618" spans="1:14" s="3" customFormat="1" ht="12.2" customHeight="1" x14ac:dyDescent="0.15">
      <c r="A618" s="97" t="s">
        <v>100</v>
      </c>
      <c r="B618" s="105"/>
      <c r="C618" s="105"/>
      <c r="D618" s="105"/>
      <c r="E618" s="105"/>
      <c r="F618" s="121" t="s">
        <v>684</v>
      </c>
      <c r="G618" s="109">
        <f>SUM(G19)</f>
        <v>40817.68</v>
      </c>
      <c r="H618" s="109">
        <f>SUM(G52)</f>
        <v>40817.68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173434.48</v>
      </c>
      <c r="H619" s="109">
        <f>SUM(H52)</f>
        <v>173434.47999999998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636318.15</v>
      </c>
      <c r="H621" s="109">
        <f>SUM(J52)</f>
        <v>636318.15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1346749.6400000001</v>
      </c>
      <c r="H622" s="109">
        <f>F476</f>
        <v>1346749.6599999964</v>
      </c>
      <c r="I622" s="121" t="s">
        <v>101</v>
      </c>
      <c r="J622" s="109">
        <f t="shared" ref="J622:J655" si="50">G622-H622</f>
        <v>-1.9999996293336153E-2</v>
      </c>
      <c r="K622" s="109"/>
      <c r="L622" s="109"/>
      <c r="M622" s="8"/>
    </row>
    <row r="623" spans="1:14" s="3" customFormat="1" ht="12.2" customHeight="1" x14ac:dyDescent="0.15">
      <c r="A623" s="97"/>
      <c r="B623" s="105"/>
      <c r="C623" s="119"/>
      <c r="D623" s="119"/>
      <c r="E623" s="119"/>
      <c r="F623" s="119" t="s">
        <v>866</v>
      </c>
      <c r="G623" s="109">
        <f>G51</f>
        <v>29868.09</v>
      </c>
      <c r="H623" s="109">
        <f>G476</f>
        <v>29868.090000000084</v>
      </c>
      <c r="I623" s="121" t="s">
        <v>102</v>
      </c>
      <c r="J623" s="109">
        <f t="shared" si="50"/>
        <v>-8.3673512563109398E-11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636318.15</v>
      </c>
      <c r="H626" s="109">
        <f>J476</f>
        <v>636318.15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20805516.629999999</v>
      </c>
      <c r="H627" s="104">
        <f>SUM(F468)</f>
        <v>20805516.629999999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585730.51000000013</v>
      </c>
      <c r="H628" s="104">
        <f>SUM(G468)</f>
        <v>585730.51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979471.34000000008</v>
      </c>
      <c r="H629" s="104">
        <f>SUM(H468)</f>
        <v>979471.34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99290.75</v>
      </c>
      <c r="H631" s="104">
        <f>SUM(J468)</f>
        <v>99290.75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21183602.759999994</v>
      </c>
      <c r="H632" s="104">
        <f>SUM(F472)</f>
        <v>21183602.760000002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979471.33999999985</v>
      </c>
      <c r="H633" s="104">
        <f>SUM(H472)</f>
        <v>979471.34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242590.43</v>
      </c>
      <c r="H634" s="104">
        <f>I369</f>
        <v>242590.43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577287.60000000009</v>
      </c>
      <c r="H635" s="104">
        <f>SUM(G472)</f>
        <v>577287.6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99290.750000000015</v>
      </c>
      <c r="H637" s="164">
        <f>SUM(J468)</f>
        <v>99290.75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34125</v>
      </c>
      <c r="H638" s="164">
        <f>SUM(J472)</f>
        <v>34125</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26203.1</v>
      </c>
      <c r="H639" s="104">
        <f>SUM(F461)</f>
        <v>26203.1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610115.05000000005</v>
      </c>
      <c r="H640" s="104">
        <f>SUM(G461)</f>
        <v>610115.05000000005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636318.15</v>
      </c>
      <c r="H642" s="104">
        <f>SUM(I461)</f>
        <v>636318.15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14290.75</v>
      </c>
      <c r="H644" s="104">
        <f>H408</f>
        <v>14290.75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85000</v>
      </c>
      <c r="H645" s="104">
        <f>G408</f>
        <v>85000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99290.75</v>
      </c>
      <c r="H646" s="104">
        <f>L408</f>
        <v>99290.750000000015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971631.37000000023</v>
      </c>
      <c r="H647" s="104">
        <f>L208+L226+L244</f>
        <v>971631.37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368749.32</v>
      </c>
      <c r="H648" s="104">
        <f>(J257+J338)-(J255+J336)</f>
        <v>368749.31999999995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315457.26</v>
      </c>
      <c r="H649" s="104">
        <f>H598</f>
        <v>315457.26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279941.74</v>
      </c>
      <c r="H650" s="104">
        <f>I598</f>
        <v>279941.74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376232.37</v>
      </c>
      <c r="H651" s="104">
        <f>J598</f>
        <v>376232.37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36203.4</v>
      </c>
      <c r="H652" s="104">
        <f>K263+K345</f>
        <v>36203.4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85000</v>
      </c>
      <c r="H655" s="104">
        <f>K266+K347</f>
        <v>85000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9011410.4199999999</v>
      </c>
      <c r="G660" s="19">
        <f>(L229+L309+L359)</f>
        <v>6358225.8499999987</v>
      </c>
      <c r="H660" s="19">
        <f>(L247+L328+L360)</f>
        <v>6947422.9199999999</v>
      </c>
      <c r="I660" s="19">
        <f>SUM(F660:H660)</f>
        <v>22317059.189999998</v>
      </c>
      <c r="J660" s="13"/>
      <c r="K660" s="13"/>
      <c r="L660" s="13"/>
      <c r="M660" s="9"/>
    </row>
    <row r="661" spans="1:13" s="3" customFormat="1" ht="12.2" customHeight="1" x14ac:dyDescent="0.2">
      <c r="A661" s="1" t="s">
        <v>127</v>
      </c>
      <c r="F661" s="19">
        <f>(L358/IF(SUM(L358:L360)=0,1,SUM(L358:L360))*(SUM(G97:G110)))</f>
        <v>113121.52523708961</v>
      </c>
      <c r="G661" s="19">
        <f>(L359/IF(SUM(L358:L360)=0,1,SUM(L358:L360))*(SUM(G97:G110)))</f>
        <v>70512.725705600809</v>
      </c>
      <c r="H661" s="19">
        <f>(L360/IF(SUM(L358:L360)=0,1,SUM(L358:L360))*(SUM(G97:G110)))</f>
        <v>73033.939057309559</v>
      </c>
      <c r="I661" s="19">
        <f>SUM(F661:H661)</f>
        <v>256668.18999999997</v>
      </c>
      <c r="J661"/>
      <c r="K661" s="13"/>
      <c r="L661" s="13"/>
      <c r="M661" s="9"/>
    </row>
    <row r="662" spans="1:13" s="3" customFormat="1" ht="12.2" customHeight="1" x14ac:dyDescent="0.2">
      <c r="A662" s="1" t="s">
        <v>128</v>
      </c>
      <c r="F662" s="19">
        <f>(L208+L287)-(J208+J287)</f>
        <v>328952.48</v>
      </c>
      <c r="G662" s="19">
        <f>(L226+L306)-(J226+J306)</f>
        <v>282512.74</v>
      </c>
      <c r="H662" s="19">
        <f>(L244+L325)-(J244+J325)</f>
        <v>380987.2</v>
      </c>
      <c r="I662" s="19">
        <f>SUM(F662:H662)</f>
        <v>992452.41999999993</v>
      </c>
      <c r="J662"/>
      <c r="K662" s="13"/>
      <c r="L662" s="13"/>
      <c r="M662" s="8"/>
    </row>
    <row r="663" spans="1:13" s="3" customFormat="1" ht="12.2" customHeight="1" x14ac:dyDescent="0.15">
      <c r="A663" s="198" t="s">
        <v>129</v>
      </c>
      <c r="B663" s="169"/>
      <c r="C663" s="169"/>
      <c r="D663" s="169"/>
      <c r="E663" s="169"/>
      <c r="F663" s="199">
        <f>SUM(F575:F587)+SUM(H602:H604)+SUM(L611)</f>
        <v>195701.22999999998</v>
      </c>
      <c r="G663" s="199">
        <f>SUM(G575:G587)+SUM(I602:I604)+L612</f>
        <v>298360.34000000003</v>
      </c>
      <c r="H663" s="199">
        <f>SUM(H575:H587)+SUM(J602:J604)+L613</f>
        <v>544395.25999999989</v>
      </c>
      <c r="I663" s="19">
        <f>SUM(F663:H663)</f>
        <v>1038456.8299999998</v>
      </c>
      <c r="J663" s="13"/>
      <c r="K663" s="13"/>
      <c r="L663" s="13"/>
      <c r="M663" s="9"/>
    </row>
    <row r="664" spans="1:13" s="3" customFormat="1" ht="12.2" customHeight="1" x14ac:dyDescent="0.15">
      <c r="A664" s="1" t="s">
        <v>130</v>
      </c>
      <c r="F664" s="19">
        <f>F660-SUM(F661:F663)</f>
        <v>8373635.18476291</v>
      </c>
      <c r="G664" s="19">
        <f>G660-SUM(G661:G663)</f>
        <v>5706840.0442943983</v>
      </c>
      <c r="H664" s="19">
        <f>H660-SUM(H661:H663)</f>
        <v>5949006.5209426908</v>
      </c>
      <c r="I664" s="19">
        <f>I660-SUM(I661:I663)</f>
        <v>20029481.75</v>
      </c>
      <c r="J664" s="13"/>
      <c r="K664" s="13"/>
      <c r="L664" s="13"/>
      <c r="M664" s="9"/>
    </row>
    <row r="665" spans="1:13" s="3" customFormat="1" ht="12.2" customHeight="1" x14ac:dyDescent="0.2">
      <c r="A665" s="1" t="s">
        <v>131</v>
      </c>
      <c r="F665" s="246">
        <v>503.12</v>
      </c>
      <c r="G665" s="247">
        <v>362.74</v>
      </c>
      <c r="H665" s="247">
        <v>379.14</v>
      </c>
      <c r="I665" s="19">
        <f>SUM(F665:H665)</f>
        <v>1245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16643.419999999998</v>
      </c>
      <c r="G667" s="19">
        <f>ROUND(G664/G665,2)</f>
        <v>15732.59</v>
      </c>
      <c r="H667" s="19">
        <f>ROUND(H664/H665,2)</f>
        <v>15690.79</v>
      </c>
      <c r="I667" s="19">
        <f>ROUND(I664/I665,2)</f>
        <v>16087.94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-15.66</v>
      </c>
      <c r="I670" s="19">
        <f>SUM(F670:H670)</f>
        <v>-15.66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16643.419999999998</v>
      </c>
      <c r="G672" s="19">
        <f>ROUND((G664+G669)/(G665+G670),2)</f>
        <v>15732.59</v>
      </c>
      <c r="H672" s="19">
        <f>ROUND((H664+H669)/(H665+H670),2)</f>
        <v>16366.81</v>
      </c>
      <c r="I672" s="19">
        <f>ROUND((I664+I669)/(I665+I670),2)</f>
        <v>16292.87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horizontalDpi="4294967295" verticalDpi="4294967295"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1" zoomScale="160" zoomScaleNormal="16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Shaker Regional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5974600.8999999994</v>
      </c>
      <c r="C9" s="229">
        <f>'DOE25'!G197+'DOE25'!G215+'DOE25'!G233+'DOE25'!G276+'DOE25'!G295+'DOE25'!G314</f>
        <v>3080963.1599999992</v>
      </c>
    </row>
    <row r="10" spans="1:3" x14ac:dyDescent="0.2">
      <c r="A10" t="s">
        <v>775</v>
      </c>
      <c r="B10" s="240">
        <f>5380680.56+45350+56497.9</f>
        <v>5482528.46</v>
      </c>
      <c r="C10" s="240">
        <v>2889522.21</v>
      </c>
    </row>
    <row r="11" spans="1:3" x14ac:dyDescent="0.2">
      <c r="A11" t="s">
        <v>776</v>
      </c>
      <c r="B11" s="240">
        <f>293892.76+41272.56+43792.58</f>
        <v>378957.9</v>
      </c>
      <c r="C11" s="240">
        <v>182203.8</v>
      </c>
    </row>
    <row r="12" spans="1:3" x14ac:dyDescent="0.2">
      <c r="A12" t="s">
        <v>777</v>
      </c>
      <c r="B12" s="240">
        <f>111902.19+1212.35</f>
        <v>113114.54000000001</v>
      </c>
      <c r="C12" s="240">
        <v>9237.15</v>
      </c>
    </row>
    <row r="13" spans="1:3" x14ac:dyDescent="0.2">
      <c r="A13" t="str">
        <f>IF(B9=B13,IF(C9=C13,"Check Total OK","Check Total Error"),"Check Total Error")</f>
        <v>Check Total OK</v>
      </c>
      <c r="B13" s="231">
        <f>SUM(B10:B12)</f>
        <v>5974600.9000000004</v>
      </c>
      <c r="C13" s="231">
        <f>SUM(C10:C12)</f>
        <v>3080963.1599999997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1722387.2500000002</v>
      </c>
      <c r="C18" s="229">
        <f>'DOE25'!G198+'DOE25'!G216+'DOE25'!G234+'DOE25'!G277+'DOE25'!G296+'DOE25'!G315</f>
        <v>970627.84000000008</v>
      </c>
    </row>
    <row r="19" spans="1:3" x14ac:dyDescent="0.2">
      <c r="A19" t="s">
        <v>775</v>
      </c>
      <c r="B19" s="240">
        <f>148354.73+984029.72</f>
        <v>1132384.45</v>
      </c>
      <c r="C19" s="240">
        <f>531459.91+122500.91</f>
        <v>653960.82000000007</v>
      </c>
    </row>
    <row r="20" spans="1:3" x14ac:dyDescent="0.2">
      <c r="A20" t="s">
        <v>776</v>
      </c>
      <c r="B20" s="240">
        <f>574183.37+15819.43</f>
        <v>590002.80000000005</v>
      </c>
      <c r="C20" s="240">
        <f>252854.77+63812.25</f>
        <v>316667.02</v>
      </c>
    </row>
    <row r="21" spans="1:3" x14ac:dyDescent="0.2">
      <c r="A21" t="s">
        <v>777</v>
      </c>
      <c r="B21" s="240"/>
      <c r="C21" s="240"/>
    </row>
    <row r="22" spans="1:3" x14ac:dyDescent="0.2">
      <c r="A22" t="str">
        <f>IF(B18=B22,IF(C18=C22,"Check Total OK","Check Total Error"),"Check Total Error")</f>
        <v>Check Total OK</v>
      </c>
      <c r="B22" s="231">
        <f>SUM(B19:B21)</f>
        <v>1722387.25</v>
      </c>
      <c r="C22" s="231">
        <f>SUM(C19:C21)</f>
        <v>970627.84000000008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19953.2</v>
      </c>
      <c r="C27" s="234">
        <f>'DOE25'!G199+'DOE25'!G217+'DOE25'!G235+'DOE25'!G278+'DOE25'!G297+'DOE25'!G316</f>
        <v>1648.79</v>
      </c>
    </row>
    <row r="28" spans="1:3" x14ac:dyDescent="0.2">
      <c r="A28" t="s">
        <v>775</v>
      </c>
      <c r="B28" s="240"/>
      <c r="C28" s="240"/>
    </row>
    <row r="29" spans="1:3" x14ac:dyDescent="0.2">
      <c r="A29" t="s">
        <v>776</v>
      </c>
      <c r="B29" s="240">
        <v>19953.2</v>
      </c>
      <c r="C29" s="240">
        <v>1648.79</v>
      </c>
    </row>
    <row r="30" spans="1:3" x14ac:dyDescent="0.2">
      <c r="A30" t="s">
        <v>777</v>
      </c>
      <c r="B30" s="240"/>
      <c r="C30" s="240"/>
    </row>
    <row r="31" spans="1:3" x14ac:dyDescent="0.2">
      <c r="A31" t="str">
        <f>IF(B27=B31,IF(C27=C31,"Check Total OK","Check Total Error"),"Check Total Error")</f>
        <v>Check Total OK</v>
      </c>
      <c r="B31" s="231">
        <f>SUM(B28:B30)</f>
        <v>19953.2</v>
      </c>
      <c r="C31" s="231">
        <f>SUM(C28:C30)</f>
        <v>1648.79</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266086.09999999998</v>
      </c>
      <c r="C36" s="235">
        <f>'DOE25'!G200+'DOE25'!G218+'DOE25'!G236+'DOE25'!G279+'DOE25'!G298+'DOE25'!G317</f>
        <v>76753.98</v>
      </c>
    </row>
    <row r="37" spans="1:3" x14ac:dyDescent="0.2">
      <c r="A37" t="s">
        <v>775</v>
      </c>
      <c r="B37" s="240">
        <v>173621.18</v>
      </c>
      <c r="C37" s="240">
        <v>69094.039999999994</v>
      </c>
    </row>
    <row r="38" spans="1:3" x14ac:dyDescent="0.2">
      <c r="A38" t="s">
        <v>776</v>
      </c>
      <c r="B38" s="240">
        <v>3725.2</v>
      </c>
      <c r="C38" s="240">
        <v>308.58999999999997</v>
      </c>
    </row>
    <row r="39" spans="1:3" x14ac:dyDescent="0.2">
      <c r="A39" t="s">
        <v>777</v>
      </c>
      <c r="B39" s="240">
        <v>88739.72</v>
      </c>
      <c r="C39" s="240">
        <v>7351.35</v>
      </c>
    </row>
    <row r="40" spans="1:3" x14ac:dyDescent="0.2">
      <c r="A40" t="str">
        <f>IF(B36=B40,IF(C36=C40,"Check Total OK","Check Total Error"),"Check Total Error")</f>
        <v>Check Total OK</v>
      </c>
      <c r="B40" s="231">
        <f>SUM(B37:B39)</f>
        <v>266086.09999999998</v>
      </c>
      <c r="C40" s="231">
        <f>SUM(C37:C39)</f>
        <v>76753.98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Shaker Regional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12501071.02</v>
      </c>
      <c r="D5" s="20">
        <f>SUM('DOE25'!L197:L200)+SUM('DOE25'!L215:L218)+SUM('DOE25'!L233:L236)-F5-G5-H5</f>
        <v>12450992.419999998</v>
      </c>
      <c r="E5" s="243"/>
      <c r="F5" s="244"/>
      <c r="G5" s="53">
        <f>SUM('DOE25'!J197:J200)+SUM('DOE25'!J215:J218)+SUM('DOE25'!J233:J236)</f>
        <v>28951.300000000003</v>
      </c>
      <c r="H5" s="53">
        <f>SUM('DOE25'!K197:K200)+SUM('DOE25'!K215:K218)+SUM('DOE25'!K233:K236)</f>
        <v>21127.3</v>
      </c>
      <c r="I5" s="256"/>
    </row>
    <row r="6" spans="1:9" x14ac:dyDescent="0.2">
      <c r="A6" s="32">
        <v>2100</v>
      </c>
      <c r="B6" t="s">
        <v>796</v>
      </c>
      <c r="C6" s="276">
        <f t="shared" si="0"/>
        <v>2470920.7399999998</v>
      </c>
      <c r="D6" s="20">
        <f>'DOE25'!L202+'DOE25'!L220+'DOE25'!L238-F6-G6-H6</f>
        <v>2467479.0999999996</v>
      </c>
      <c r="E6" s="243"/>
      <c r="F6" s="244"/>
      <c r="G6" s="53">
        <f>'DOE25'!J202+'DOE25'!J220+'DOE25'!J238</f>
        <v>1124.6400000000001</v>
      </c>
      <c r="H6" s="53">
        <f>'DOE25'!K202+'DOE25'!K220+'DOE25'!K238</f>
        <v>2317</v>
      </c>
      <c r="I6" s="256"/>
    </row>
    <row r="7" spans="1:9" x14ac:dyDescent="0.2">
      <c r="A7" s="32">
        <v>2200</v>
      </c>
      <c r="B7" t="s">
        <v>821</v>
      </c>
      <c r="C7" s="276">
        <f t="shared" si="0"/>
        <v>1118438.83</v>
      </c>
      <c r="D7" s="20">
        <f>'DOE25'!L203+'DOE25'!L221+'DOE25'!L239-F7-G7-H7</f>
        <v>1046657.3200000001</v>
      </c>
      <c r="E7" s="243"/>
      <c r="F7" s="244"/>
      <c r="G7" s="53">
        <f>'DOE25'!J203+'DOE25'!J221+'DOE25'!J239</f>
        <v>70696.509999999995</v>
      </c>
      <c r="H7" s="53">
        <f>'DOE25'!K203+'DOE25'!K221+'DOE25'!K239</f>
        <v>1085</v>
      </c>
      <c r="I7" s="256"/>
    </row>
    <row r="8" spans="1:9" x14ac:dyDescent="0.2">
      <c r="A8" s="32">
        <v>2300</v>
      </c>
      <c r="B8" t="s">
        <v>797</v>
      </c>
      <c r="C8" s="276">
        <f t="shared" si="0"/>
        <v>366503.76</v>
      </c>
      <c r="D8" s="243"/>
      <c r="E8" s="20">
        <f>'DOE25'!L204+'DOE25'!L222+'DOE25'!L240-F8-G8-H8-D9-D11</f>
        <v>359982.78</v>
      </c>
      <c r="F8" s="244"/>
      <c r="G8" s="53">
        <f>'DOE25'!J204+'DOE25'!J222+'DOE25'!J240</f>
        <v>0</v>
      </c>
      <c r="H8" s="53">
        <f>'DOE25'!K204+'DOE25'!K222+'DOE25'!K240</f>
        <v>6520.98</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1225034.72</v>
      </c>
      <c r="D12" s="20">
        <f>'DOE25'!L205+'DOE25'!L223+'DOE25'!L241-F12-G12-H12</f>
        <v>1206014.5399999998</v>
      </c>
      <c r="E12" s="243"/>
      <c r="F12" s="244"/>
      <c r="G12" s="53">
        <f>'DOE25'!J205+'DOE25'!J223+'DOE25'!J241</f>
        <v>1640.1</v>
      </c>
      <c r="H12" s="53">
        <f>'DOE25'!K205+'DOE25'!K223+'DOE25'!K241</f>
        <v>17380.080000000002</v>
      </c>
      <c r="I12" s="256"/>
    </row>
    <row r="13" spans="1:9" x14ac:dyDescent="0.2">
      <c r="A13" s="32">
        <v>2500</v>
      </c>
      <c r="B13" t="s">
        <v>798</v>
      </c>
      <c r="C13" s="276">
        <f t="shared" si="0"/>
        <v>328806.43999999994</v>
      </c>
      <c r="D13" s="243"/>
      <c r="E13" s="20">
        <f>'DOE25'!L206+'DOE25'!L224+'DOE25'!L242-F13-G13-H13</f>
        <v>325882.20999999996</v>
      </c>
      <c r="F13" s="244"/>
      <c r="G13" s="53">
        <f>'DOE25'!J206+'DOE25'!J224+'DOE25'!J242</f>
        <v>1119.99</v>
      </c>
      <c r="H13" s="53">
        <f>'DOE25'!K206+'DOE25'!K224+'DOE25'!K242</f>
        <v>1804.2399999999998</v>
      </c>
      <c r="I13" s="256"/>
    </row>
    <row r="14" spans="1:9" x14ac:dyDescent="0.2">
      <c r="A14" s="32">
        <v>2600</v>
      </c>
      <c r="B14" t="s">
        <v>819</v>
      </c>
      <c r="C14" s="276">
        <f t="shared" si="0"/>
        <v>1777893.3699999999</v>
      </c>
      <c r="D14" s="20">
        <f>'DOE25'!L207+'DOE25'!L225+'DOE25'!L243-F14-G14-H14</f>
        <v>1740373.42</v>
      </c>
      <c r="E14" s="243"/>
      <c r="F14" s="244"/>
      <c r="G14" s="53">
        <f>'DOE25'!J207+'DOE25'!J225+'DOE25'!J243</f>
        <v>37519.949999999997</v>
      </c>
      <c r="H14" s="53">
        <f>'DOE25'!K207+'DOE25'!K225+'DOE25'!K243</f>
        <v>0</v>
      </c>
      <c r="I14" s="256"/>
    </row>
    <row r="15" spans="1:9" x14ac:dyDescent="0.2">
      <c r="A15" s="32">
        <v>2700</v>
      </c>
      <c r="B15" t="s">
        <v>799</v>
      </c>
      <c r="C15" s="276">
        <f t="shared" si="0"/>
        <v>971631.37</v>
      </c>
      <c r="D15" s="20">
        <f>'DOE25'!L208+'DOE25'!L226+'DOE25'!L244-F15-G15-H15</f>
        <v>971631.37</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2875.83</v>
      </c>
      <c r="D19" s="20">
        <f>'DOE25'!L253-F19-G19-H19</f>
        <v>2875.83</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299223.28000000003</v>
      </c>
      <c r="D22" s="243"/>
      <c r="E22" s="243"/>
      <c r="F22" s="243"/>
      <c r="G22" s="53">
        <f>'DOE25'!L255+'DOE25'!L336</f>
        <v>299223.28000000003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352713.03000000009</v>
      </c>
      <c r="D29" s="284">
        <f>'DOE25'!L358+'DOE25'!L359+'DOE25'!L360-'DOE25'!I367-F29-G29-H29</f>
        <v>343630.33000000007</v>
      </c>
      <c r="E29" s="243"/>
      <c r="F29" s="244"/>
      <c r="G29" s="53">
        <f>'DOE25'!J358+'DOE25'!J359+'DOE25'!J360</f>
        <v>8300.7000000000007</v>
      </c>
      <c r="H29" s="53">
        <f>'DOE25'!K358+'DOE25'!K359+'DOE25'!K360</f>
        <v>782</v>
      </c>
      <c r="I29" s="256"/>
    </row>
    <row r="30" spans="1:9" x14ac:dyDescent="0.2">
      <c r="A30" s="32"/>
      <c r="C30" s="277"/>
      <c r="D30" s="20"/>
      <c r="E30" s="281"/>
      <c r="F30" s="271"/>
      <c r="G30" s="53"/>
      <c r="H30" s="53"/>
      <c r="I30" s="256"/>
    </row>
    <row r="31" spans="1:9" x14ac:dyDescent="0.2">
      <c r="A31" s="32" t="s">
        <v>818</v>
      </c>
      <c r="B31" t="s">
        <v>817</v>
      </c>
      <c r="C31" s="276">
        <f>SUM(D31:I31)</f>
        <v>979471.33999999985</v>
      </c>
      <c r="D31" s="20">
        <f>'DOE25'!L290+'DOE25'!L309+'DOE25'!L328+'DOE25'!L333+'DOE25'!L334+'DOE25'!L335-F31-G31-H31</f>
        <v>745298.05999999994</v>
      </c>
      <c r="E31" s="243"/>
      <c r="F31" s="244"/>
      <c r="G31" s="53">
        <f>'DOE25'!J290+'DOE25'!J309+'DOE25'!J328+'DOE25'!J333+'DOE25'!J334+'DOE25'!J335</f>
        <v>227696.83</v>
      </c>
      <c r="H31" s="53">
        <f>'DOE25'!K290+'DOE25'!K309+'DOE25'!K328+'DOE25'!K333+'DOE25'!K334+'DOE25'!K335</f>
        <v>6476.4500000000007</v>
      </c>
      <c r="I31" s="256"/>
    </row>
    <row r="32" spans="1:9" ht="12" thickBot="1" x14ac:dyDescent="0.25">
      <c r="C32" s="277"/>
      <c r="G32" s="251"/>
      <c r="H32" s="251"/>
      <c r="I32" s="258"/>
    </row>
    <row r="33" spans="1:9" ht="12" thickTop="1" x14ac:dyDescent="0.2">
      <c r="B33" t="s">
        <v>809</v>
      </c>
      <c r="D33" s="245">
        <f t="shared" ref="D33:I33" si="1">SUM(D5:D31)</f>
        <v>20974952.389999997</v>
      </c>
      <c r="E33" s="245">
        <f t="shared" si="1"/>
        <v>685864.99</v>
      </c>
      <c r="F33" s="245">
        <f t="shared" si="1"/>
        <v>0</v>
      </c>
      <c r="G33" s="245">
        <f t="shared" si="1"/>
        <v>676273.3</v>
      </c>
      <c r="H33" s="245">
        <f t="shared" si="1"/>
        <v>57493.05</v>
      </c>
      <c r="I33" s="245">
        <f t="shared" si="1"/>
        <v>0</v>
      </c>
    </row>
    <row r="35" spans="1:9" ht="12" thickBot="1" x14ac:dyDescent="0.25">
      <c r="B35" s="251" t="s">
        <v>831</v>
      </c>
      <c r="D35" s="252">
        <f>E33</f>
        <v>685864.99</v>
      </c>
      <c r="E35" s="248"/>
    </row>
    <row r="36" spans="1:9" ht="12" thickTop="1" x14ac:dyDescent="0.2">
      <c r="B36" t="s">
        <v>810</v>
      </c>
      <c r="D36" s="20">
        <f>D33</f>
        <v>20974952.389999997</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Shaker Regional School District</v>
      </c>
      <c r="B2" s="126">
        <f>'DOE25'!B2</f>
        <v>486</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8756982.1100000013</v>
      </c>
      <c r="G4" s="303">
        <f>'DOE25'!L211+'DOE25'!L290</f>
        <v>8756982.1099999994</v>
      </c>
      <c r="H4" s="304">
        <f>F4-G4</f>
        <v>0</v>
      </c>
      <c r="I4" s="310" t="str">
        <f>IF(H4=0,"","Does not match DOE25 page 7 and 11 Totals!!")</f>
        <v/>
      </c>
      <c r="N4"/>
    </row>
    <row r="5" spans="1:18" x14ac:dyDescent="0.2">
      <c r="A5" s="21" t="s">
        <v>1441</v>
      </c>
      <c r="B5" s="305">
        <f>IFERROR(VLOOKUP(A5,'School Tables'!$C$3:$D$368,2,FALSE),"")</f>
        <v>22135</v>
      </c>
      <c r="C5" s="297" t="str">
        <f>IFERROR(INDEX('School Tables'!$B$3:$B$368,MATCH('School Level Expenditures'!B5,'School Tables'!$D$3:$D$368,0)),"")</f>
        <v>Shaker Regional</v>
      </c>
      <c r="D5" s="294">
        <v>6238702.6500000004</v>
      </c>
      <c r="E5" s="294">
        <v>486477.62</v>
      </c>
      <c r="F5" s="313">
        <f>D5+E5</f>
        <v>6725180.2700000005</v>
      </c>
      <c r="G5" s="297"/>
      <c r="H5" s="297"/>
      <c r="I5" s="126"/>
      <c r="N5"/>
    </row>
    <row r="6" spans="1:18" x14ac:dyDescent="0.2">
      <c r="A6" s="21" t="s">
        <v>1440</v>
      </c>
      <c r="B6" s="305">
        <f>IFERROR(VLOOKUP(A6,'School Tables'!$C$3:$D$368,2,FALSE),"")</f>
        <v>22165</v>
      </c>
      <c r="C6" s="297" t="str">
        <f>IFERROR(INDEX('School Tables'!$B$3:$B$368,MATCH('School Level Expenditures'!B6,'School Tables'!$D$3:$D$368,0)),"")</f>
        <v>Shaker Regional</v>
      </c>
      <c r="D6" s="294">
        <v>1995135.35</v>
      </c>
      <c r="E6" s="294">
        <v>36666.49</v>
      </c>
      <c r="F6" s="308">
        <f t="shared" ref="F6:F20" si="0">D6+E6</f>
        <v>2031801.84</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6199631.5100000007</v>
      </c>
      <c r="G24" s="303">
        <f>'DOE25'!L229+'DOE25'!L309</f>
        <v>6199631.5099999988</v>
      </c>
      <c r="H24" s="304">
        <f>F24-G24</f>
        <v>0</v>
      </c>
      <c r="I24" s="310" t="str">
        <f>IF(H24=0,"","Does not match DOE25 page 8 and 12 Totals!!")</f>
        <v/>
      </c>
      <c r="N24"/>
    </row>
    <row r="25" spans="1:14" x14ac:dyDescent="0.2">
      <c r="A25" s="21" t="s">
        <v>1443</v>
      </c>
      <c r="B25" s="305">
        <f>IFERROR(VLOOKUP(A25,'School Tables'!$I$3:$J$80,2,FALSE),"")</f>
        <v>22150</v>
      </c>
      <c r="C25" s="297" t="str">
        <f t="array" ref="C25">IFERROR(INDEX('School Tables'!$H$3:$H$80,MATCH('School Level Expenditures'!B25,'School Tables'!$J$3:$J$80,0)),"")</f>
        <v>Shaker Regional</v>
      </c>
      <c r="D25" s="294">
        <v>5952193.7300000004</v>
      </c>
      <c r="E25" s="294">
        <v>247437.78</v>
      </c>
      <c r="F25" s="308">
        <f>D25+E25</f>
        <v>6199631.5100000007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6783157.9699999997</v>
      </c>
      <c r="G36" s="303">
        <f>'DOE25'!L247+'DOE25'!L328</f>
        <v>6783157.9699999997</v>
      </c>
      <c r="H36" s="304">
        <f>F36-G36</f>
        <v>0</v>
      </c>
      <c r="I36" s="310" t="str">
        <f>IF(H36=0,"","Does not match DOE25 page 9 and 13 Totals!!")</f>
        <v/>
      </c>
      <c r="N36"/>
    </row>
    <row r="37" spans="1:14" x14ac:dyDescent="0.2">
      <c r="A37" s="21" t="s">
        <v>1442</v>
      </c>
      <c r="B37" s="305">
        <f>IFERROR(VLOOKUP(A37,'School Tables'!$O$3:$P$122,2,FALSE),"")</f>
        <v>22145</v>
      </c>
      <c r="C37" s="297" t="str">
        <f t="array" ref="C37">IFERROR(INDEX('School Tables'!$N$3:$N$122,MATCH('School Level Expenditures'!B37,'School Tables'!$P$3:$P$122,0)),"")</f>
        <v>Shaker Regional</v>
      </c>
      <c r="D37" s="294">
        <v>6574266.5199999996</v>
      </c>
      <c r="E37" s="294">
        <v>208891.45</v>
      </c>
      <c r="F37" s="308">
        <f>D37+E37</f>
        <v>6783157.9699999997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75" zoomScaleNormal="175"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Shaker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261489.82</v>
      </c>
      <c r="D8" s="95">
        <f>'DOE25'!G9</f>
        <v>604.45999999999992</v>
      </c>
      <c r="E8" s="95">
        <f>'DOE25'!H9</f>
        <v>0</v>
      </c>
      <c r="F8" s="95">
        <f>'DOE25'!I9</f>
        <v>0</v>
      </c>
      <c r="G8" s="95">
        <f>'DOE25'!J9</f>
        <v>0</v>
      </c>
      <c r="H8" s="124"/>
      <c r="I8" s="124"/>
    </row>
    <row r="9" spans="1:9" x14ac:dyDescent="0.2">
      <c r="A9" s="1" t="s">
        <v>140</v>
      </c>
      <c r="B9" s="6">
        <v>110</v>
      </c>
      <c r="C9" s="95">
        <f>'DOE25'!F10</f>
        <v>1522.9</v>
      </c>
      <c r="D9" s="95">
        <f>'DOE25'!G10</f>
        <v>0</v>
      </c>
      <c r="E9" s="95">
        <f>'DOE25'!H10</f>
        <v>0</v>
      </c>
      <c r="F9" s="95">
        <f>'DOE25'!I10</f>
        <v>0</v>
      </c>
      <c r="G9" s="95">
        <f>'DOE25'!J10</f>
        <v>636318.15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133287.84</v>
      </c>
      <c r="D11" s="95">
        <f>'DOE25'!G12</f>
        <v>12321.2</v>
      </c>
      <c r="E11" s="95">
        <f>'DOE25'!H12</f>
        <v>0</v>
      </c>
      <c r="F11" s="95">
        <f>'DOE25'!I12</f>
        <v>0</v>
      </c>
      <c r="G11" s="95">
        <f>'DOE25'!J12</f>
        <v>0</v>
      </c>
      <c r="H11" s="124"/>
      <c r="I11" s="124"/>
    </row>
    <row r="12" spans="1:9" x14ac:dyDescent="0.2">
      <c r="A12" s="1" t="s">
        <v>143</v>
      </c>
      <c r="B12" s="6">
        <v>140</v>
      </c>
      <c r="C12" s="95">
        <f>'DOE25'!F13</f>
        <v>993741.55</v>
      </c>
      <c r="D12" s="95">
        <f>'DOE25'!G13</f>
        <v>26330.87</v>
      </c>
      <c r="E12" s="95">
        <f>'DOE25'!H13</f>
        <v>147264.44</v>
      </c>
      <c r="F12" s="95">
        <f>'DOE25'!I13</f>
        <v>0</v>
      </c>
      <c r="G12" s="95">
        <f>'DOE25'!J13</f>
        <v>0</v>
      </c>
      <c r="H12" s="124"/>
      <c r="I12" s="124"/>
    </row>
    <row r="13" spans="1:9" x14ac:dyDescent="0.2">
      <c r="A13" s="1" t="s">
        <v>144</v>
      </c>
      <c r="B13" s="6">
        <v>150</v>
      </c>
      <c r="C13" s="95">
        <f>'DOE25'!F14</f>
        <v>20460.150000000001</v>
      </c>
      <c r="D13" s="95">
        <f>'DOE25'!G14</f>
        <v>1561.15</v>
      </c>
      <c r="E13" s="95">
        <f>'DOE25'!H14</f>
        <v>26170.04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59517.19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1470019.45</v>
      </c>
      <c r="D18" s="41">
        <f>SUM(D8:D17)</f>
        <v>40817.68</v>
      </c>
      <c r="E18" s="41">
        <f>SUM(E8:E17)</f>
        <v>173434.48</v>
      </c>
      <c r="F18" s="41">
        <f>SUM(F8:F17)</f>
        <v>0</v>
      </c>
      <c r="G18" s="41">
        <f>SUM(G8:G17)</f>
        <v>636318.15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688.75</v>
      </c>
      <c r="D21" s="95">
        <f>'DOE25'!G22</f>
        <v>0</v>
      </c>
      <c r="E21" s="95">
        <f>'DOE25'!H22</f>
        <v>0</v>
      </c>
      <c r="F21" s="95">
        <f>'DOE25'!I22</f>
        <v>0</v>
      </c>
      <c r="G21" s="95">
        <f>'DOE25'!J22</f>
        <v>0</v>
      </c>
      <c r="H21" s="124"/>
      <c r="I21" s="124"/>
    </row>
    <row r="22" spans="1:9" x14ac:dyDescent="0.2">
      <c r="A22" s="1" t="s">
        <v>151</v>
      </c>
      <c r="B22" s="6">
        <v>410</v>
      </c>
      <c r="C22" s="95">
        <f>'DOE25'!F23</f>
        <v>7544.61</v>
      </c>
      <c r="D22" s="95">
        <f>'DOE25'!G23</f>
        <v>0</v>
      </c>
      <c r="E22" s="95">
        <f>'DOE25'!H23</f>
        <v>1655.62</v>
      </c>
      <c r="F22" s="95">
        <f>'DOE25'!I23</f>
        <v>0</v>
      </c>
      <c r="G22" s="95">
        <f>'DOE25'!J23</f>
        <v>0</v>
      </c>
      <c r="H22" s="124"/>
      <c r="I22" s="124"/>
    </row>
    <row r="23" spans="1:9" x14ac:dyDescent="0.2">
      <c r="A23" s="1" t="s">
        <v>152</v>
      </c>
      <c r="B23" s="6">
        <v>420</v>
      </c>
      <c r="C23" s="95">
        <f>'DOE25'!F24</f>
        <v>89087.11</v>
      </c>
      <c r="D23" s="95">
        <f>'DOE25'!G24</f>
        <v>235.5</v>
      </c>
      <c r="E23" s="95">
        <f>'DOE25'!H24</f>
        <v>3778.5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20949.32</v>
      </c>
      <c r="D27" s="95">
        <f>'DOE25'!G28</f>
        <v>696.28</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5000</v>
      </c>
      <c r="D29" s="95">
        <f>'DOE25'!G30</f>
        <v>10017.81</v>
      </c>
      <c r="E29" s="95">
        <f>'DOE25'!H30</f>
        <v>168000.36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123269.79000000001</v>
      </c>
      <c r="D31" s="41">
        <f>SUM(D21:D30)</f>
        <v>10949.59</v>
      </c>
      <c r="E31" s="41">
        <f>SUM(E21:E30)</f>
        <v>173434.47999999998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59517.19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29868.09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210000</v>
      </c>
      <c r="D43" s="95">
        <f>'DOE25'!G44</f>
        <v>0</v>
      </c>
      <c r="E43" s="95">
        <f>'DOE25'!H44</f>
        <v>0</v>
      </c>
      <c r="F43" s="95">
        <f>'DOE25'!I44</f>
        <v>0</v>
      </c>
      <c r="G43" s="24" t="s">
        <v>288</v>
      </c>
      <c r="H43" s="124"/>
      <c r="I43" s="124"/>
    </row>
    <row r="44" spans="1:9" x14ac:dyDescent="0.2">
      <c r="A44" s="1" t="s">
        <v>864</v>
      </c>
      <c r="B44" s="6">
        <v>753</v>
      </c>
      <c r="C44" s="95">
        <f>'DOE25'!F45</f>
        <v>200390.6</v>
      </c>
      <c r="D44" s="95">
        <f>'DOE25'!G45</f>
        <v>0</v>
      </c>
      <c r="E44" s="95">
        <f>'DOE25'!H45</f>
        <v>0</v>
      </c>
      <c r="F44" s="95">
        <f>'DOE25'!I45</f>
        <v>0</v>
      </c>
      <c r="G44" s="95">
        <f>'DOE25'!J45</f>
        <v>0</v>
      </c>
      <c r="H44" s="124"/>
      <c r="I44" s="124"/>
    </row>
    <row r="45" spans="1:9" x14ac:dyDescent="0.2">
      <c r="A45" s="1" t="s">
        <v>880</v>
      </c>
      <c r="B45" s="6"/>
      <c r="C45" s="95">
        <f>'DOE25'!F46</f>
        <v>388893.6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636318.15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487948.25</v>
      </c>
      <c r="D49" s="24" t="s">
        <v>288</v>
      </c>
      <c r="E49" s="24" t="s">
        <v>288</v>
      </c>
      <c r="F49" s="24" t="s">
        <v>288</v>
      </c>
      <c r="G49" s="24" t="s">
        <v>288</v>
      </c>
      <c r="H49" s="124"/>
      <c r="I49" s="124"/>
    </row>
    <row r="50" spans="1:9" ht="12.75" thickTop="1" thickBot="1" x14ac:dyDescent="0.25">
      <c r="A50" s="38" t="s">
        <v>884</v>
      </c>
      <c r="B50" s="48"/>
      <c r="C50" s="41">
        <f>SUM(C34:C49)</f>
        <v>1346749.6400000001</v>
      </c>
      <c r="D50" s="41">
        <f>SUM(D34:D49)</f>
        <v>29868.09</v>
      </c>
      <c r="E50" s="41">
        <f>SUM(E34:E49)</f>
        <v>0</v>
      </c>
      <c r="F50" s="41">
        <f>SUM(F34:F49)</f>
        <v>0</v>
      </c>
      <c r="G50" s="41">
        <f>SUM(G34:G49)</f>
        <v>636318.15</v>
      </c>
      <c r="H50" s="124"/>
      <c r="I50" s="124"/>
    </row>
    <row r="51" spans="1:9" ht="12" thickTop="1" x14ac:dyDescent="0.2">
      <c r="A51" s="38" t="s">
        <v>885</v>
      </c>
      <c r="B51" s="2"/>
      <c r="C51" s="41">
        <f>C50+C31</f>
        <v>1470019.4300000002</v>
      </c>
      <c r="D51" s="41">
        <f>D50+D31</f>
        <v>40817.68</v>
      </c>
      <c r="E51" s="41">
        <f>E50+E31</f>
        <v>173434.47999999998</v>
      </c>
      <c r="F51" s="41">
        <f>F50+F31</f>
        <v>0</v>
      </c>
      <c r="G51" s="41">
        <f>G50+G31</f>
        <v>636318.15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13617304</v>
      </c>
      <c r="D56" s="95">
        <f>'DOE25'!G60</f>
        <v>0</v>
      </c>
      <c r="E56" s="95">
        <f>'DOE25'!H60</f>
        <v>0</v>
      </c>
      <c r="F56" s="95">
        <f>'DOE25'!I60</f>
        <v>0</v>
      </c>
      <c r="G56" s="95">
        <f>'DOE25'!J60</f>
        <v>0</v>
      </c>
      <c r="H56"/>
      <c r="I56"/>
    </row>
    <row r="57" spans="1:9" x14ac:dyDescent="0.2">
      <c r="A57" s="1" t="s">
        <v>164</v>
      </c>
      <c r="B57" s="6" t="s">
        <v>165</v>
      </c>
      <c r="C57" s="95">
        <f>'DOE25'!F79</f>
        <v>27675.08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5899.81</v>
      </c>
      <c r="D59" s="95">
        <f>'DOE25'!G96</f>
        <v>6.54</v>
      </c>
      <c r="E59" s="95">
        <f>'DOE25'!H96</f>
        <v>106388.41</v>
      </c>
      <c r="F59" s="95">
        <f>'DOE25'!I96</f>
        <v>0</v>
      </c>
      <c r="G59" s="95">
        <f>'DOE25'!J96</f>
        <v>14290.75</v>
      </c>
      <c r="H59"/>
      <c r="I59"/>
    </row>
    <row r="60" spans="1:9" x14ac:dyDescent="0.2">
      <c r="A60" s="1" t="s">
        <v>170</v>
      </c>
      <c r="B60" s="118" t="s">
        <v>171</v>
      </c>
      <c r="C60" s="24" t="s">
        <v>288</v>
      </c>
      <c r="D60" s="95">
        <f>'DOE25'!G97</f>
        <v>254968.9</v>
      </c>
      <c r="E60" s="24" t="s">
        <v>288</v>
      </c>
      <c r="F60" s="24" t="s">
        <v>288</v>
      </c>
      <c r="G60" s="24" t="s">
        <v>288</v>
      </c>
      <c r="H60"/>
      <c r="I60"/>
    </row>
    <row r="61" spans="1:9" ht="12" thickBot="1" x14ac:dyDescent="0.25">
      <c r="A61" s="1" t="s">
        <v>172</v>
      </c>
      <c r="B61" s="118" t="s">
        <v>173</v>
      </c>
      <c r="C61" s="95">
        <f>SUM('DOE25'!F98:F110)</f>
        <v>91266.96</v>
      </c>
      <c r="D61" s="95">
        <f>SUM('DOE25'!G98:G110)</f>
        <v>1699.29</v>
      </c>
      <c r="E61" s="95">
        <f>SUM('DOE25'!H98:H110)</f>
        <v>0</v>
      </c>
      <c r="F61" s="95">
        <f>SUM('DOE25'!I98:I110)</f>
        <v>0</v>
      </c>
      <c r="G61" s="95">
        <f>SUM('DOE25'!J98:J110)</f>
        <v>0</v>
      </c>
      <c r="H61"/>
      <c r="I61"/>
    </row>
    <row r="62" spans="1:9" ht="12.75" thickTop="1" thickBot="1" x14ac:dyDescent="0.25">
      <c r="A62" s="29" t="s">
        <v>174</v>
      </c>
      <c r="B62" s="6"/>
      <c r="C62" s="130">
        <f>SUM(C57:C61)</f>
        <v>124841.85</v>
      </c>
      <c r="D62" s="130">
        <f>SUM(D57:D61)</f>
        <v>256674.73</v>
      </c>
      <c r="E62" s="130">
        <f>SUM(E57:E61)</f>
        <v>106388.41</v>
      </c>
      <c r="F62" s="130">
        <f>SUM(F57:F61)</f>
        <v>0</v>
      </c>
      <c r="G62" s="130">
        <f>SUM(G57:G61)</f>
        <v>14290.75</v>
      </c>
      <c r="H62"/>
      <c r="I62"/>
    </row>
    <row r="63" spans="1:9" ht="12" thickTop="1" x14ac:dyDescent="0.2">
      <c r="A63" s="29" t="s">
        <v>175</v>
      </c>
      <c r="B63" s="6"/>
      <c r="C63" s="22">
        <f>C56+C62</f>
        <v>13742145.85</v>
      </c>
      <c r="D63" s="22">
        <f>D56+D62</f>
        <v>256674.73</v>
      </c>
      <c r="E63" s="22">
        <f>E56+E62</f>
        <v>106388.41</v>
      </c>
      <c r="F63" s="22">
        <f>F56+F62</f>
        <v>0</v>
      </c>
      <c r="G63" s="22">
        <f>G56+G62</f>
        <v>14290.75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4869079.6900000004</v>
      </c>
      <c r="D66" s="24" t="s">
        <v>288</v>
      </c>
      <c r="E66" s="24" t="s">
        <v>288</v>
      </c>
      <c r="F66" s="24" t="s">
        <v>288</v>
      </c>
      <c r="G66" s="24" t="s">
        <v>288</v>
      </c>
      <c r="H66"/>
      <c r="I66"/>
    </row>
    <row r="67" spans="1:9" x14ac:dyDescent="0.2">
      <c r="A67" s="1" t="s">
        <v>770</v>
      </c>
      <c r="B67" s="6">
        <v>3112</v>
      </c>
      <c r="C67" s="95">
        <f>'DOE25'!F118</f>
        <v>1938440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1388.82</v>
      </c>
      <c r="D69" s="95">
        <f>'DOE25'!G120</f>
        <v>0</v>
      </c>
      <c r="E69" s="95">
        <f>'DOE25'!H120</f>
        <v>0</v>
      </c>
      <c r="F69" s="95">
        <f>'DOE25'!I120</f>
        <v>0</v>
      </c>
      <c r="G69" s="95">
        <f>'DOE25'!J120</f>
        <v>0</v>
      </c>
      <c r="H69"/>
      <c r="I69"/>
    </row>
    <row r="70" spans="1:9" ht="12" thickTop="1" x14ac:dyDescent="0.2">
      <c r="A70" s="29" t="s">
        <v>252</v>
      </c>
      <c r="B70" s="2"/>
      <c r="C70" s="139">
        <f>SUM(C66:C69)</f>
        <v>6808908.5100000007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97458.79</v>
      </c>
      <c r="D74" s="24"/>
      <c r="E74" s="24"/>
      <c r="F74" s="24"/>
      <c r="G74" s="24"/>
      <c r="H74"/>
      <c r="I74"/>
    </row>
    <row r="75" spans="1:9" x14ac:dyDescent="0.2">
      <c r="A75" s="1" t="s">
        <v>256</v>
      </c>
      <c r="B75" s="6">
        <v>3230</v>
      </c>
      <c r="C75" s="95">
        <f>'DOE25'!F126</f>
        <v>36829.18</v>
      </c>
      <c r="D75" s="24" t="s">
        <v>288</v>
      </c>
      <c r="E75" s="24" t="s">
        <v>288</v>
      </c>
      <c r="F75" s="24" t="s">
        <v>288</v>
      </c>
      <c r="G75" s="24" t="s">
        <v>288</v>
      </c>
      <c r="H75"/>
      <c r="I75"/>
    </row>
    <row r="76" spans="1:9" x14ac:dyDescent="0.2">
      <c r="A76" s="1" t="s">
        <v>257</v>
      </c>
      <c r="B76" s="6" t="s">
        <v>179</v>
      </c>
      <c r="C76" s="95">
        <f>SUM('DOE25'!F127:F130)</f>
        <v>11023.6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14147.04</v>
      </c>
      <c r="E77" s="95">
        <f>SUM('DOE25'!H131:H135)</f>
        <v>0</v>
      </c>
      <c r="F77" s="95">
        <f>SUM('DOE25'!I131:I135)</f>
        <v>0</v>
      </c>
      <c r="G77" s="95">
        <f>SUM('DOE25'!J131:J135)</f>
        <v>0</v>
      </c>
      <c r="H77"/>
      <c r="I77"/>
    </row>
    <row r="78" spans="1:9" ht="12.75" thickTop="1" thickBot="1" x14ac:dyDescent="0.25">
      <c r="A78" s="29" t="s">
        <v>259</v>
      </c>
      <c r="B78" s="6"/>
      <c r="C78" s="130">
        <f>SUM(C72:C77)</f>
        <v>145311.57</v>
      </c>
      <c r="D78" s="130">
        <f>SUM(D72:D77)</f>
        <v>14147.04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6954220.080000001</v>
      </c>
      <c r="D81" s="130">
        <f>SUM(D79:D80)+D78+D70</f>
        <v>14147.04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109150.7</v>
      </c>
      <c r="D88" s="95">
        <f>SUM('DOE25'!G153:G161)</f>
        <v>278705.34000000003</v>
      </c>
      <c r="E88" s="95">
        <f>SUM('DOE25'!H153:H161)</f>
        <v>854745.93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109150.7</v>
      </c>
      <c r="D91" s="131">
        <f>SUM(D85:D90)</f>
        <v>278705.34000000003</v>
      </c>
      <c r="E91" s="131">
        <f>SUM(E85:E90)</f>
        <v>854745.93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36203.4</v>
      </c>
      <c r="E96" s="95">
        <f>'DOE25'!H179</f>
        <v>0</v>
      </c>
      <c r="F96" s="95">
        <f>'DOE25'!I179</f>
        <v>0</v>
      </c>
      <c r="G96" s="95">
        <f>'DOE25'!J179</f>
        <v>85000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18337</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36203.4</v>
      </c>
      <c r="E103" s="86">
        <f>SUM(E93:E102)</f>
        <v>18337</v>
      </c>
      <c r="F103" s="86">
        <f>SUM(F93:F102)</f>
        <v>0</v>
      </c>
      <c r="G103" s="86">
        <f>SUM(G93:G102)</f>
        <v>85000</v>
      </c>
    </row>
    <row r="104" spans="1:7" ht="12.75" thickTop="1" thickBot="1" x14ac:dyDescent="0.25">
      <c r="A104" s="33" t="s">
        <v>761</v>
      </c>
      <c r="C104" s="86">
        <f>C63+C81+C91+C103</f>
        <v>20805516.629999999</v>
      </c>
      <c r="D104" s="86">
        <f>D63+D81+D91+D103</f>
        <v>585730.51000000013</v>
      </c>
      <c r="E104" s="86">
        <f>E63+E81+E91+E103</f>
        <v>979471.34000000008</v>
      </c>
      <c r="F104" s="86">
        <f>F63+F81+F91+F103</f>
        <v>0</v>
      </c>
      <c r="G104" s="86">
        <f>G63+G81+G103</f>
        <v>99290.75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8976668.1899999995</v>
      </c>
      <c r="D109" s="24" t="s">
        <v>288</v>
      </c>
      <c r="E109" s="95">
        <f>('DOE25'!L276)+('DOE25'!L295)+('DOE25'!L314)</f>
        <v>335307.79999999993</v>
      </c>
      <c r="F109" s="24" t="s">
        <v>288</v>
      </c>
      <c r="G109" s="24" t="s">
        <v>288</v>
      </c>
    </row>
    <row r="110" spans="1:7" x14ac:dyDescent="0.2">
      <c r="A110" t="s">
        <v>198</v>
      </c>
      <c r="B110" s="32" t="s">
        <v>199</v>
      </c>
      <c r="C110" s="95">
        <f>('DOE25'!L198)+('DOE25'!L216)+('DOE25'!L234)</f>
        <v>2916177.5100000002</v>
      </c>
      <c r="D110" s="24" t="s">
        <v>288</v>
      </c>
      <c r="E110" s="95">
        <f>('DOE25'!L277)+('DOE25'!L296)+('DOE25'!L315)</f>
        <v>344257.48999999993</v>
      </c>
      <c r="F110" s="24" t="s">
        <v>288</v>
      </c>
      <c r="G110" s="24" t="s">
        <v>288</v>
      </c>
    </row>
    <row r="111" spans="1:7" x14ac:dyDescent="0.2">
      <c r="A111" t="s">
        <v>200</v>
      </c>
      <c r="B111" s="32" t="s">
        <v>165</v>
      </c>
      <c r="C111" s="95">
        <f>('DOE25'!L199)+('DOE25'!L217)+('DOE25'!L235)</f>
        <v>176399.47</v>
      </c>
      <c r="D111" s="24" t="s">
        <v>288</v>
      </c>
      <c r="E111" s="95">
        <f>('DOE25'!L278)+('DOE25'!L297)+('DOE25'!L316)</f>
        <v>0</v>
      </c>
      <c r="F111" s="24" t="s">
        <v>288</v>
      </c>
      <c r="G111" s="24" t="s">
        <v>288</v>
      </c>
    </row>
    <row r="112" spans="1:7" x14ac:dyDescent="0.2">
      <c r="A112" t="s">
        <v>201</v>
      </c>
      <c r="B112" s="32" t="s">
        <v>167</v>
      </c>
      <c r="C112" s="95">
        <f>('DOE25'!L200)+('DOE25'!L218)+('DOE25'!L236)</f>
        <v>431825.85</v>
      </c>
      <c r="D112" s="24" t="s">
        <v>288</v>
      </c>
      <c r="E112" s="95">
        <f>+('DOE25'!L279)+('DOE25'!L298)+('DOE25'!L317)</f>
        <v>69963.329999999987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2875.83</v>
      </c>
      <c r="D114" s="24" t="s">
        <v>288</v>
      </c>
      <c r="E114" s="95">
        <f>+ SUM('DOE25'!L333:L335)</f>
        <v>0</v>
      </c>
      <c r="F114" s="24" t="s">
        <v>288</v>
      </c>
      <c r="G114" s="24" t="s">
        <v>288</v>
      </c>
    </row>
    <row r="115" spans="1:7" ht="12.75" thickTop="1" thickBot="1" x14ac:dyDescent="0.25">
      <c r="A115" s="33" t="s">
        <v>205</v>
      </c>
      <c r="C115" s="86">
        <f>SUM(C109:C114)</f>
        <v>12503946.85</v>
      </c>
      <c r="D115" s="86">
        <f>SUM(D109:D114)</f>
        <v>0</v>
      </c>
      <c r="E115" s="86">
        <f>SUM(E109:E114)</f>
        <v>749528.61999999976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2470920.7399999998</v>
      </c>
      <c r="D118" s="24" t="s">
        <v>288</v>
      </c>
      <c r="E118" s="95">
        <f>+('DOE25'!L281)+('DOE25'!L300)+('DOE25'!L319)</f>
        <v>47927.42</v>
      </c>
      <c r="F118" s="24" t="s">
        <v>288</v>
      </c>
      <c r="G118" s="24" t="s">
        <v>288</v>
      </c>
    </row>
    <row r="119" spans="1:7" x14ac:dyDescent="0.2">
      <c r="A119" t="s">
        <v>208</v>
      </c>
      <c r="B119" s="32" t="s">
        <v>209</v>
      </c>
      <c r="C119" s="95">
        <f>('DOE25'!L203)+('DOE25'!L221)+('DOE25'!L239)</f>
        <v>1118438.83</v>
      </c>
      <c r="D119" s="24" t="s">
        <v>288</v>
      </c>
      <c r="E119" s="95">
        <f>+('DOE25'!L282)+('DOE25'!L301)+('DOE25'!L320)</f>
        <v>63689.760000000002</v>
      </c>
      <c r="F119" s="24" t="s">
        <v>288</v>
      </c>
      <c r="G119" s="24" t="s">
        <v>288</v>
      </c>
    </row>
    <row r="120" spans="1:7" x14ac:dyDescent="0.2">
      <c r="A120" t="s">
        <v>210</v>
      </c>
      <c r="B120" s="32" t="s">
        <v>211</v>
      </c>
      <c r="C120" s="95">
        <f>('DOE25'!L204)+('DOE25'!L222)+('DOE25'!L240)</f>
        <v>366503.76</v>
      </c>
      <c r="D120" s="24" t="s">
        <v>288</v>
      </c>
      <c r="E120" s="95">
        <f>+('DOE25'!L283)+('DOE25'!L302)+('DOE25'!L321)</f>
        <v>0</v>
      </c>
      <c r="F120" s="24" t="s">
        <v>288</v>
      </c>
      <c r="G120" s="24" t="s">
        <v>288</v>
      </c>
    </row>
    <row r="121" spans="1:7" x14ac:dyDescent="0.2">
      <c r="A121" t="s">
        <v>212</v>
      </c>
      <c r="B121" s="32" t="s">
        <v>213</v>
      </c>
      <c r="C121" s="95">
        <f>('DOE25'!L205)+('DOE25'!L223)+('DOE25'!L241)</f>
        <v>1225034.72</v>
      </c>
      <c r="D121" s="24" t="s">
        <v>288</v>
      </c>
      <c r="E121" s="95">
        <f>+('DOE25'!L284)+('DOE25'!L303)+('DOE25'!L322)</f>
        <v>0</v>
      </c>
      <c r="F121" s="24" t="s">
        <v>288</v>
      </c>
      <c r="G121" s="24" t="s">
        <v>288</v>
      </c>
    </row>
    <row r="122" spans="1:7" x14ac:dyDescent="0.2">
      <c r="A122" t="s">
        <v>214</v>
      </c>
      <c r="B122" s="32" t="s">
        <v>215</v>
      </c>
      <c r="C122" s="95">
        <f>('DOE25'!L206)+('DOE25'!L224)+('DOE25'!L242)</f>
        <v>328806.43999999994</v>
      </c>
      <c r="D122" s="24" t="s">
        <v>288</v>
      </c>
      <c r="E122" s="95">
        <f>+('DOE25'!L285)+('DOE25'!L304)+('DOE25'!L323)</f>
        <v>0</v>
      </c>
      <c r="F122" s="24" t="s">
        <v>288</v>
      </c>
      <c r="G122" s="24" t="s">
        <v>288</v>
      </c>
    </row>
    <row r="123" spans="1:7" x14ac:dyDescent="0.2">
      <c r="A123" t="s">
        <v>216</v>
      </c>
      <c r="B123" s="32" t="s">
        <v>217</v>
      </c>
      <c r="C123" s="95">
        <f>('DOE25'!L207)+('DOE25'!L225)+('DOE25'!L243)</f>
        <v>1777893.3699999999</v>
      </c>
      <c r="D123" s="24" t="s">
        <v>288</v>
      </c>
      <c r="E123" s="95">
        <f>+('DOE25'!L286)+('DOE25'!L305)+('DOE25'!L324)</f>
        <v>97504.489999999991</v>
      </c>
      <c r="F123" s="24" t="s">
        <v>288</v>
      </c>
      <c r="G123" s="24" t="s">
        <v>288</v>
      </c>
    </row>
    <row r="124" spans="1:7" x14ac:dyDescent="0.2">
      <c r="A124" t="s">
        <v>218</v>
      </c>
      <c r="B124" s="32" t="s">
        <v>219</v>
      </c>
      <c r="C124" s="95">
        <f>('DOE25'!L208)+('DOE25'!L226)+('DOE25'!L244+'DOE25'!L254)</f>
        <v>971631.37</v>
      </c>
      <c r="D124" s="24" t="s">
        <v>288</v>
      </c>
      <c r="E124" s="95">
        <f>+('DOE25'!L287)+('DOE25'!L306)+('DOE25'!L325)</f>
        <v>20821.05</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577287.60000000009</v>
      </c>
      <c r="E127" s="24" t="s">
        <v>288</v>
      </c>
      <c r="F127" s="24" t="s">
        <v>288</v>
      </c>
      <c r="G127" s="24" t="s">
        <v>288</v>
      </c>
    </row>
    <row r="128" spans="1:7" ht="12.75" thickTop="1" thickBot="1" x14ac:dyDescent="0.25">
      <c r="A128" s="33" t="s">
        <v>226</v>
      </c>
      <c r="C128" s="86">
        <f>SUM(C118:C127)</f>
        <v>8259229.2300000004</v>
      </c>
      <c r="D128" s="86">
        <f>SUM(D118:D127)</f>
        <v>577287.60000000009</v>
      </c>
      <c r="E128" s="86">
        <f>SUM(E118:E127)</f>
        <v>229942.71999999997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299223.28000000003</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34125</v>
      </c>
    </row>
    <row r="135" spans="1:7" x14ac:dyDescent="0.2">
      <c r="A135" t="s">
        <v>233</v>
      </c>
      <c r="B135" s="32" t="s">
        <v>234</v>
      </c>
      <c r="C135" s="95">
        <f>'DOE25'!L263</f>
        <v>36203.4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578.23</v>
      </c>
      <c r="D138" s="24" t="s">
        <v>288</v>
      </c>
      <c r="E138" s="24" t="s">
        <v>288</v>
      </c>
      <c r="F138" s="24" t="s">
        <v>288</v>
      </c>
      <c r="G138" s="24" t="s">
        <v>288</v>
      </c>
    </row>
    <row r="139" spans="1:7" x14ac:dyDescent="0.2">
      <c r="A139" t="s">
        <v>239</v>
      </c>
      <c r="B139" s="32">
        <v>5252</v>
      </c>
      <c r="C139" s="95">
        <f>'DOE25'!L401</f>
        <v>98712.520000000019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-14290.750000000015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420426.68000000005</v>
      </c>
      <c r="D144" s="141">
        <f>SUM(D130:D143)</f>
        <v>0</v>
      </c>
      <c r="E144" s="141">
        <f>SUM(E130:E143)</f>
        <v>0</v>
      </c>
      <c r="F144" s="141">
        <f>SUM(F130:F143)</f>
        <v>0</v>
      </c>
      <c r="G144" s="141">
        <f>SUM(G130:G143)</f>
        <v>34125</v>
      </c>
    </row>
    <row r="145" spans="1:9" ht="12.75" thickTop="1" thickBot="1" x14ac:dyDescent="0.25">
      <c r="A145" s="33" t="s">
        <v>244</v>
      </c>
      <c r="C145" s="86">
        <f>(C115+C128+C144)</f>
        <v>21183602.759999998</v>
      </c>
      <c r="D145" s="86">
        <f>(D115+D128+D144)</f>
        <v>577287.60000000009</v>
      </c>
      <c r="E145" s="86">
        <f>(E115+E128+E144)</f>
        <v>979471.33999999973</v>
      </c>
      <c r="F145" s="86">
        <f>(F115+F128+F144)</f>
        <v>0</v>
      </c>
      <c r="G145" s="86">
        <f>(G115+G128+G144)</f>
        <v>34125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horizontalDpi="4294967295" verticalDpi="4294967295"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Shaker Regional School District</v>
      </c>
    </row>
    <row r="3" spans="1:4" x14ac:dyDescent="0.2">
      <c r="B3" s="188" t="s">
        <v>1602</v>
      </c>
    </row>
    <row r="4" spans="1:4" x14ac:dyDescent="0.2">
      <c r="B4" t="s">
        <v>61</v>
      </c>
      <c r="C4" s="179">
        <f>IF('DOE25'!F665+'DOE25'!F670=0,0,ROUND('DOE25'!F672,0))</f>
        <v>16643</v>
      </c>
    </row>
    <row r="5" spans="1:4" x14ac:dyDescent="0.2">
      <c r="B5" t="s">
        <v>700</v>
      </c>
      <c r="C5" s="179">
        <f>IF('DOE25'!G665+'DOE25'!G670=0,0,ROUND('DOE25'!G672,0))</f>
        <v>15733</v>
      </c>
    </row>
    <row r="6" spans="1:4" x14ac:dyDescent="0.2">
      <c r="B6" t="s">
        <v>62</v>
      </c>
      <c r="C6" s="179">
        <f>IF('DOE25'!H665+'DOE25'!H670=0,0,ROUND('DOE25'!H672,0))</f>
        <v>16367</v>
      </c>
    </row>
    <row r="7" spans="1:4" x14ac:dyDescent="0.2">
      <c r="B7" t="s">
        <v>701</v>
      </c>
      <c r="C7" s="179">
        <f>IF('DOE25'!I665+'DOE25'!I670=0,0,ROUND('DOE25'!I672,0))</f>
        <v>16293</v>
      </c>
    </row>
    <row r="9" spans="1:4" x14ac:dyDescent="0.2">
      <c r="A9" s="187" t="s">
        <v>94</v>
      </c>
      <c r="B9" s="188" t="s">
        <v>1603</v>
      </c>
      <c r="C9" s="181" t="s">
        <v>720</v>
      </c>
      <c r="D9" s="181" t="s">
        <v>721</v>
      </c>
    </row>
    <row r="10" spans="1:4" x14ac:dyDescent="0.2">
      <c r="A10">
        <v>1100</v>
      </c>
      <c r="B10" t="s">
        <v>702</v>
      </c>
      <c r="C10" s="179">
        <f>ROUND('DOE25'!L197+'DOE25'!L215+'DOE25'!L233+'DOE25'!L276+'DOE25'!L295+'DOE25'!L314,0)</f>
        <v>9311976</v>
      </c>
      <c r="D10" s="182">
        <f>ROUND((C10/$C$28)*100,1)</f>
        <v>42.2</v>
      </c>
    </row>
    <row r="11" spans="1:4" x14ac:dyDescent="0.2">
      <c r="A11">
        <v>1200</v>
      </c>
      <c r="B11" t="s">
        <v>703</v>
      </c>
      <c r="C11" s="179">
        <f>ROUND('DOE25'!L198+'DOE25'!L216+'DOE25'!L234+'DOE25'!L277+'DOE25'!L296+'DOE25'!L315,0)</f>
        <v>3260435</v>
      </c>
      <c r="D11" s="182">
        <f>ROUND((C11/$C$28)*100,1)</f>
        <v>14.8</v>
      </c>
    </row>
    <row r="12" spans="1:4" x14ac:dyDescent="0.2">
      <c r="A12">
        <v>1300</v>
      </c>
      <c r="B12" t="s">
        <v>704</v>
      </c>
      <c r="C12" s="179">
        <f>ROUND('DOE25'!L199+'DOE25'!L217+'DOE25'!L235+'DOE25'!L278+'DOE25'!L297+'DOE25'!L316,0)</f>
        <v>176399</v>
      </c>
      <c r="D12" s="182">
        <f>ROUND((C12/$C$28)*100,1)</f>
        <v>0.8</v>
      </c>
    </row>
    <row r="13" spans="1:4" x14ac:dyDescent="0.2">
      <c r="A13">
        <v>1400</v>
      </c>
      <c r="B13" t="s">
        <v>705</v>
      </c>
      <c r="C13" s="179">
        <f>ROUND('DOE25'!L200+'DOE25'!L218+'DOE25'!L236+'DOE25'!L279+'DOE25'!L298+'DOE25'!L317,0)</f>
        <v>501789</v>
      </c>
      <c r="D13" s="182">
        <f>ROUND((C13/$C$28)*100,1)</f>
        <v>2.2999999999999998</v>
      </c>
    </row>
    <row r="14" spans="1:4" x14ac:dyDescent="0.2">
      <c r="D14" s="182"/>
    </row>
    <row r="15" spans="1:4" x14ac:dyDescent="0.2">
      <c r="A15">
        <v>2100</v>
      </c>
      <c r="B15" t="s">
        <v>706</v>
      </c>
      <c r="C15" s="179">
        <f>ROUND('DOE25'!L202+'DOE25'!L220+'DOE25'!L238+'DOE25'!L281+'DOE25'!L300+'DOE25'!L319,0)</f>
        <v>2518848</v>
      </c>
      <c r="D15" s="182">
        <f t="shared" ref="D15:D27" si="0">ROUND((C15/$C$28)*100,1)</f>
        <v>11.4</v>
      </c>
    </row>
    <row r="16" spans="1:4" x14ac:dyDescent="0.2">
      <c r="A16">
        <v>2200</v>
      </c>
      <c r="B16" t="s">
        <v>707</v>
      </c>
      <c r="C16" s="179">
        <f>ROUND('DOE25'!L203+'DOE25'!L221+'DOE25'!L239+'DOE25'!L282+'DOE25'!L301+'DOE25'!L320,0)</f>
        <v>1182129</v>
      </c>
      <c r="D16" s="182">
        <f t="shared" si="0"/>
        <v>5.4</v>
      </c>
    </row>
    <row r="17" spans="1:4" x14ac:dyDescent="0.2">
      <c r="A17" s="183" t="s">
        <v>723</v>
      </c>
      <c r="B17" t="s">
        <v>738</v>
      </c>
      <c r="C17" s="179">
        <f>ROUND('DOE25'!L204+'DOE25'!L209+'DOE25'!L222+'DOE25'!L227+'DOE25'!L240+'DOE25'!L245+'DOE25'!L283+'DOE25'!L288+'DOE25'!L302+'DOE25'!L307+'DOE25'!L321+'DOE25'!L326,0)</f>
        <v>366504</v>
      </c>
      <c r="D17" s="182">
        <f t="shared" si="0"/>
        <v>1.7</v>
      </c>
    </row>
    <row r="18" spans="1:4" x14ac:dyDescent="0.2">
      <c r="A18">
        <v>2400</v>
      </c>
      <c r="B18" t="s">
        <v>711</v>
      </c>
      <c r="C18" s="179">
        <f>ROUND('DOE25'!L205+'DOE25'!L223+'DOE25'!L241+'DOE25'!L284+'DOE25'!L303+'DOE25'!L322,0)</f>
        <v>1225035</v>
      </c>
      <c r="D18" s="182">
        <f t="shared" si="0"/>
        <v>5.6</v>
      </c>
    </row>
    <row r="19" spans="1:4" x14ac:dyDescent="0.2">
      <c r="A19">
        <v>2500</v>
      </c>
      <c r="B19" t="s">
        <v>708</v>
      </c>
      <c r="C19" s="179">
        <f>ROUND('DOE25'!L206+'DOE25'!L224+'DOE25'!L242+'DOE25'!L285+'DOE25'!L304+'DOE25'!L323,0)</f>
        <v>328806</v>
      </c>
      <c r="D19" s="182">
        <f t="shared" si="0"/>
        <v>1.5</v>
      </c>
    </row>
    <row r="20" spans="1:4" x14ac:dyDescent="0.2">
      <c r="A20">
        <v>2600</v>
      </c>
      <c r="B20" t="s">
        <v>709</v>
      </c>
      <c r="C20" s="179">
        <f>ROUND('DOE25'!L207+'DOE25'!L225+'DOE25'!L243+'DOE25'!L286+'DOE25'!L305+'DOE25'!L324,0)</f>
        <v>1875398</v>
      </c>
      <c r="D20" s="182">
        <f t="shared" si="0"/>
        <v>8.5</v>
      </c>
    </row>
    <row r="21" spans="1:4" x14ac:dyDescent="0.2">
      <c r="A21">
        <v>2700</v>
      </c>
      <c r="B21" t="s">
        <v>710</v>
      </c>
      <c r="C21" s="179">
        <f>ROUND('DOE25'!L208+'DOE25'!L226+'DOE25'!L244+'DOE25'!L287+'DOE25'!L306+'DOE25'!L325,0)</f>
        <v>992452</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2876</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320619.81</v>
      </c>
      <c r="D27" s="182">
        <f t="shared" si="0"/>
        <v>1.5</v>
      </c>
    </row>
    <row r="28" spans="1:4" x14ac:dyDescent="0.2">
      <c r="B28" s="187" t="s">
        <v>719</v>
      </c>
      <c r="C28" s="180">
        <f>SUM(C10:C27)</f>
        <v>22063266.809999999</v>
      </c>
      <c r="D28" s="184">
        <f>ROUND(SUM(D10:D27),0)</f>
        <v>100</v>
      </c>
    </row>
    <row r="29" spans="1:4" x14ac:dyDescent="0.2">
      <c r="A29">
        <v>4000</v>
      </c>
      <c r="B29" t="s">
        <v>724</v>
      </c>
      <c r="C29" s="179">
        <f>ROUND('DOE25'!L255+'DOE25'!L336+'DOE25'!L374+'DOE25'!L375+'DOE25'!L376+'DOE25'!L377+'DOE25'!L378+'DOE25'!L379+'DOE25'!L380,0)</f>
        <v>299223</v>
      </c>
    </row>
    <row r="30" spans="1:4" x14ac:dyDescent="0.2">
      <c r="B30" s="187" t="s">
        <v>725</v>
      </c>
      <c r="C30" s="180">
        <f>SUM(C28:C29)</f>
        <v>22362489.809999999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13617304</v>
      </c>
      <c r="D35" s="182">
        <f t="shared" ref="D35:D40" si="1">ROUND((C35/$C$41)*100,1)</f>
        <v>61.7</v>
      </c>
    </row>
    <row r="36" spans="1:4" x14ac:dyDescent="0.2">
      <c r="B36" s="185" t="s">
        <v>739</v>
      </c>
      <c r="C36" s="179">
        <f>SUM('DOE25'!F112:J112)-SUM('DOE25'!G97:G110)+('DOE25'!F174+'DOE25'!F175+'DOE25'!I174+'DOE25'!I175)-C35</f>
        <v>245527.55000000075</v>
      </c>
      <c r="D36" s="182">
        <f t="shared" si="1"/>
        <v>1.1000000000000001</v>
      </c>
    </row>
    <row r="37" spans="1:4" x14ac:dyDescent="0.2">
      <c r="A37" s="183" t="s">
        <v>835</v>
      </c>
      <c r="B37" s="185" t="s">
        <v>728</v>
      </c>
      <c r="C37" s="179">
        <f>ROUND('DOE25'!F117+'DOE25'!F118,0)</f>
        <v>6807520</v>
      </c>
      <c r="D37" s="182">
        <f t="shared" si="1"/>
        <v>30.8</v>
      </c>
    </row>
    <row r="38" spans="1:4" x14ac:dyDescent="0.2">
      <c r="A38" s="183" t="s">
        <v>734</v>
      </c>
      <c r="B38" s="185" t="s">
        <v>729</v>
      </c>
      <c r="C38" s="179">
        <f>ROUND(SUM('DOE25'!F140:J140)-SUM('DOE25'!F117:F119),0)</f>
        <v>160847</v>
      </c>
      <c r="D38" s="182">
        <f t="shared" si="1"/>
        <v>0.7</v>
      </c>
    </row>
    <row r="39" spans="1:4" x14ac:dyDescent="0.2">
      <c r="A39">
        <v>4000</v>
      </c>
      <c r="B39" s="185" t="s">
        <v>730</v>
      </c>
      <c r="C39" s="179">
        <f>ROUND('DOE25'!F169+'DOE25'!G169+'DOE25'!H169+'DOE25'!I169,0)</f>
        <v>1242602</v>
      </c>
      <c r="D39" s="182">
        <f t="shared" si="1"/>
        <v>5.6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22073800.550000001</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Shaker Regional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v>19</v>
      </c>
      <c r="B4" s="219">
        <v>469</v>
      </c>
      <c r="C4" s="332" t="s">
        <v>1611</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t="s">
        <v>1612</v>
      </c>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2019-08-15T19:59:24Z</cp:lastPrinted>
  <dcterms:created xsi:type="dcterms:W3CDTF">1997-12-04T19:04:30Z</dcterms:created>
  <dcterms:modified xsi:type="dcterms:W3CDTF">2019-11-22T16:09:17Z</dcterms:modified>
</cp:coreProperties>
</file>