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37" i="14" l="1"/>
  <c r="D37" i="14"/>
  <c r="C39" i="12"/>
  <c r="C38" i="12"/>
  <c r="C37" i="12"/>
  <c r="B38" i="12"/>
  <c r="B37" i="12"/>
  <c r="B39" i="12"/>
  <c r="C21" i="12"/>
  <c r="C20" i="12"/>
  <c r="C19" i="12"/>
  <c r="C12" i="12"/>
  <c r="C11" i="12"/>
  <c r="C10" i="12"/>
  <c r="F469" i="1" l="1"/>
  <c r="H238" i="1"/>
  <c r="F50" i="1"/>
  <c r="H543" i="1" l="1"/>
  <c r="J592" i="1"/>
  <c r="G429" i="1"/>
  <c r="H397" i="1"/>
  <c r="H396" i="1"/>
  <c r="H400" i="1"/>
  <c r="I403" i="1"/>
  <c r="H451" i="1"/>
  <c r="H439" i="1"/>
  <c r="G459" i="1"/>
  <c r="I48" i="1" l="1"/>
  <c r="H48" i="1"/>
  <c r="F502" i="1"/>
  <c r="F499" i="1"/>
  <c r="F498"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C121" i="2" s="1"/>
  <c r="G14" i="13"/>
  <c r="H14" i="13"/>
  <c r="L207" i="1"/>
  <c r="L225" i="1"/>
  <c r="L243" i="1"/>
  <c r="G15" i="13"/>
  <c r="H15" i="13"/>
  <c r="L208" i="1"/>
  <c r="G649" i="1" s="1"/>
  <c r="L226" i="1"/>
  <c r="L244" i="1"/>
  <c r="G17" i="13"/>
  <c r="H17" i="13"/>
  <c r="L251" i="1"/>
  <c r="G18" i="13"/>
  <c r="H18" i="13"/>
  <c r="L252" i="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E120" i="2" s="1"/>
  <c r="L322" i="1"/>
  <c r="L323" i="1"/>
  <c r="L324" i="1"/>
  <c r="E123" i="2" s="1"/>
  <c r="L325" i="1"/>
  <c r="E124" i="2" s="1"/>
  <c r="L326" i="1"/>
  <c r="L333" i="1"/>
  <c r="E114" i="2" s="1"/>
  <c r="L334" i="1"/>
  <c r="L335" i="1"/>
  <c r="L260" i="1"/>
  <c r="C131" i="2" s="1"/>
  <c r="L261" i="1"/>
  <c r="C132" i="2" s="1"/>
  <c r="L341" i="1"/>
  <c r="L342" i="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F111" i="1"/>
  <c r="G111" i="1"/>
  <c r="G112" i="1" s="1"/>
  <c r="H79" i="1"/>
  <c r="E57" i="2" s="1"/>
  <c r="H94" i="1"/>
  <c r="H111" i="1"/>
  <c r="I111" i="1"/>
  <c r="I112" i="1" s="1"/>
  <c r="J111" i="1"/>
  <c r="J112" i="1" s="1"/>
  <c r="F121" i="1"/>
  <c r="F136" i="1"/>
  <c r="G121" i="1"/>
  <c r="G136" i="1"/>
  <c r="H121" i="1"/>
  <c r="H136" i="1"/>
  <c r="I121" i="1"/>
  <c r="I136" i="1"/>
  <c r="J121" i="1"/>
  <c r="J136" i="1"/>
  <c r="F147" i="1"/>
  <c r="F162" i="1"/>
  <c r="G147" i="1"/>
  <c r="G162" i="1"/>
  <c r="H147" i="1"/>
  <c r="E85" i="2" s="1"/>
  <c r="H162" i="1"/>
  <c r="H169" i="1" s="1"/>
  <c r="I147" i="1"/>
  <c r="I162" i="1"/>
  <c r="C11" i="10"/>
  <c r="C12" i="10"/>
  <c r="L250" i="1"/>
  <c r="L332" i="1"/>
  <c r="L254" i="1"/>
  <c r="C25" i="10"/>
  <c r="L268" i="1"/>
  <c r="L269" i="1"/>
  <c r="L349" i="1"/>
  <c r="L350" i="1"/>
  <c r="E143" i="2" s="1"/>
  <c r="I665" i="1"/>
  <c r="I670" i="1"/>
  <c r="F662" i="1"/>
  <c r="G662" i="1"/>
  <c r="I669" i="1"/>
  <c r="C42" i="10"/>
  <c r="L374" i="1"/>
  <c r="L375" i="1"/>
  <c r="L376" i="1"/>
  <c r="L377" i="1"/>
  <c r="L378" i="1"/>
  <c r="L379" i="1"/>
  <c r="L380" i="1"/>
  <c r="B2" i="10"/>
  <c r="L344" i="1"/>
  <c r="L345" i="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C113" i="2"/>
  <c r="E113" i="2"/>
  <c r="D115" i="2"/>
  <c r="F115" i="2"/>
  <c r="G115" i="2"/>
  <c r="C119" i="2"/>
  <c r="E119" i="2"/>
  <c r="C122" i="2"/>
  <c r="C125" i="2"/>
  <c r="F128" i="2"/>
  <c r="G128" i="2"/>
  <c r="D134" i="2"/>
  <c r="D144" i="2" s="1"/>
  <c r="E134" i="2"/>
  <c r="F134" i="2"/>
  <c r="K419" i="1"/>
  <c r="K427" i="1"/>
  <c r="K433" i="1"/>
  <c r="L263" i="1"/>
  <c r="C135" i="2" s="1"/>
  <c r="E135" i="2"/>
  <c r="L264" i="1"/>
  <c r="C136" i="2" s="1"/>
  <c r="L265" i="1"/>
  <c r="C137" i="2" s="1"/>
  <c r="C142"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G157" i="2" s="1"/>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G620" i="1" s="1"/>
  <c r="F32" i="1"/>
  <c r="F52" i="1" s="1"/>
  <c r="H617" i="1" s="1"/>
  <c r="G32" i="1"/>
  <c r="G52" i="1" s="1"/>
  <c r="H618" i="1" s="1"/>
  <c r="H32" i="1"/>
  <c r="I32" i="1"/>
  <c r="H51" i="1"/>
  <c r="G624" i="1" s="1"/>
  <c r="I51" i="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L381" i="1"/>
  <c r="F382" i="1"/>
  <c r="G382" i="1"/>
  <c r="H382" i="1"/>
  <c r="I382" i="1"/>
  <c r="J382" i="1"/>
  <c r="K382" i="1"/>
  <c r="F393" i="1"/>
  <c r="G393" i="1"/>
  <c r="H393" i="1"/>
  <c r="I393" i="1"/>
  <c r="I408" i="1" s="1"/>
  <c r="F401" i="1"/>
  <c r="G401" i="1"/>
  <c r="H401" i="1"/>
  <c r="I401" i="1"/>
  <c r="F407" i="1"/>
  <c r="G407" i="1"/>
  <c r="H407" i="1"/>
  <c r="I407" i="1"/>
  <c r="F408" i="1"/>
  <c r="G408" i="1"/>
  <c r="H645"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G641" i="1" s="1"/>
  <c r="F452" i="1"/>
  <c r="F461" i="1" s="1"/>
  <c r="H639" i="1" s="1"/>
  <c r="G452" i="1"/>
  <c r="H452" i="1"/>
  <c r="F460" i="1"/>
  <c r="G460" i="1"/>
  <c r="G461" i="1" s="1"/>
  <c r="H640" i="1" s="1"/>
  <c r="H460" i="1"/>
  <c r="H461" i="1"/>
  <c r="H641" i="1" s="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70" i="1" s="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22" i="1"/>
  <c r="G623" i="1"/>
  <c r="H634" i="1"/>
  <c r="G640" i="1"/>
  <c r="G643" i="1"/>
  <c r="H643" i="1"/>
  <c r="G644" i="1"/>
  <c r="H647" i="1"/>
  <c r="G650" i="1"/>
  <c r="G651" i="1"/>
  <c r="G652" i="1"/>
  <c r="H652" i="1"/>
  <c r="G653" i="1"/>
  <c r="H653" i="1"/>
  <c r="G654" i="1"/>
  <c r="H654" i="1"/>
  <c r="H655" i="1"/>
  <c r="F78" i="2"/>
  <c r="F81" i="2" s="1"/>
  <c r="G62" i="2"/>
  <c r="H112" i="1"/>
  <c r="I169" i="1"/>
  <c r="J140" i="1"/>
  <c r="K550" i="1"/>
  <c r="H140" i="1"/>
  <c r="I25" i="13"/>
  <c r="C25" i="13" s="1"/>
  <c r="H192" i="1"/>
  <c r="G36" i="2"/>
  <c r="G338" i="1" l="1"/>
  <c r="G352" i="1" s="1"/>
  <c r="L309" i="1"/>
  <c r="J649" i="1"/>
  <c r="K605" i="1"/>
  <c r="G648" i="1" s="1"/>
  <c r="I571" i="1"/>
  <c r="J571" i="1"/>
  <c r="F571" i="1"/>
  <c r="F338" i="1"/>
  <c r="F352" i="1" s="1"/>
  <c r="F192" i="1"/>
  <c r="G192" i="1"/>
  <c r="D19" i="13"/>
  <c r="C19" i="13" s="1"/>
  <c r="H571" i="1"/>
  <c r="L565" i="1"/>
  <c r="I257" i="1"/>
  <c r="I271" i="1" s="1"/>
  <c r="E78" i="2"/>
  <c r="J552" i="1"/>
  <c r="H552" i="1"/>
  <c r="L351" i="1"/>
  <c r="J643" i="1"/>
  <c r="H408" i="1"/>
  <c r="H644" i="1" s="1"/>
  <c r="G164" i="2"/>
  <c r="G161" i="2"/>
  <c r="G156" i="2"/>
  <c r="G552" i="1"/>
  <c r="L433" i="1"/>
  <c r="J641" i="1"/>
  <c r="J651" i="1"/>
  <c r="K598" i="1"/>
  <c r="G647" i="1" s="1"/>
  <c r="C21" i="10"/>
  <c r="E122" i="2"/>
  <c r="E118" i="2"/>
  <c r="E109" i="2"/>
  <c r="E62" i="2"/>
  <c r="E63" i="2" s="1"/>
  <c r="D91" i="2"/>
  <c r="C70" i="2"/>
  <c r="F112" i="1"/>
  <c r="K551" i="1"/>
  <c r="K545" i="1"/>
  <c r="G545" i="1"/>
  <c r="C17" i="10"/>
  <c r="H662" i="1"/>
  <c r="I662" i="1" s="1"/>
  <c r="C124" i="2"/>
  <c r="C123" i="2"/>
  <c r="C19" i="10"/>
  <c r="C15" i="10"/>
  <c r="L256" i="1"/>
  <c r="F257" i="1"/>
  <c r="F271" i="1" s="1"/>
  <c r="J257" i="1"/>
  <c r="J271" i="1" s="1"/>
  <c r="C111" i="2"/>
  <c r="L247" i="1"/>
  <c r="I52" i="1"/>
  <c r="H620" i="1" s="1"/>
  <c r="E31" i="2"/>
  <c r="H52" i="1"/>
  <c r="H619" i="1" s="1"/>
  <c r="J619" i="1" s="1"/>
  <c r="J617" i="1"/>
  <c r="J639" i="1"/>
  <c r="J647" i="1"/>
  <c r="I545" i="1"/>
  <c r="I446" i="1"/>
  <c r="G642" i="1" s="1"/>
  <c r="E103" i="2"/>
  <c r="L270" i="1"/>
  <c r="I552" i="1"/>
  <c r="F552" i="1"/>
  <c r="F130" i="2"/>
  <c r="F144" i="2" s="1"/>
  <c r="F145" i="2" s="1"/>
  <c r="F169" i="1"/>
  <c r="L401" i="1"/>
  <c r="C139" i="2" s="1"/>
  <c r="L393" i="1"/>
  <c r="C138" i="2" s="1"/>
  <c r="A31" i="12"/>
  <c r="A40" i="12"/>
  <c r="C29" i="10"/>
  <c r="L328" i="1"/>
  <c r="E125" i="2"/>
  <c r="E121" i="2"/>
  <c r="C13" i="10"/>
  <c r="G661" i="1"/>
  <c r="D14" i="13"/>
  <c r="C14" i="13" s="1"/>
  <c r="C18" i="10"/>
  <c r="L211" i="1"/>
  <c r="C120" i="2"/>
  <c r="J655" i="1"/>
  <c r="J640" i="1"/>
  <c r="L534" i="1"/>
  <c r="I452" i="1"/>
  <c r="G645" i="1"/>
  <c r="J645" i="1" s="1"/>
  <c r="L614" i="1"/>
  <c r="K500" i="1"/>
  <c r="J634" i="1"/>
  <c r="C118" i="2"/>
  <c r="C56" i="2"/>
  <c r="D50" i="2"/>
  <c r="D31" i="2"/>
  <c r="D51" i="2" s="1"/>
  <c r="F18" i="2"/>
  <c r="C18" i="2"/>
  <c r="D18" i="2"/>
  <c r="H257" i="1"/>
  <c r="H271" i="1" s="1"/>
  <c r="H545" i="1"/>
  <c r="I460" i="1"/>
  <c r="L427" i="1"/>
  <c r="L419" i="1"/>
  <c r="L434" i="1" s="1"/>
  <c r="K257" i="1"/>
  <c r="K271" i="1" s="1"/>
  <c r="K571" i="1"/>
  <c r="L560" i="1"/>
  <c r="J545" i="1"/>
  <c r="C78" i="2"/>
  <c r="C81" i="2" s="1"/>
  <c r="D81" i="2"/>
  <c r="D62" i="2"/>
  <c r="D63" i="2" s="1"/>
  <c r="J644" i="1"/>
  <c r="C35" i="10"/>
  <c r="C36" i="10" s="1"/>
  <c r="G625" i="1"/>
  <c r="L529" i="1"/>
  <c r="C130" i="2"/>
  <c r="C114" i="2"/>
  <c r="C110" i="2"/>
  <c r="G81" i="2"/>
  <c r="C62" i="2"/>
  <c r="C32" i="10"/>
  <c r="F661" i="1"/>
  <c r="L362" i="1"/>
  <c r="D18" i="13"/>
  <c r="C18" i="13" s="1"/>
  <c r="D15" i="13"/>
  <c r="C15" i="13" s="1"/>
  <c r="D6" i="13"/>
  <c r="C6" i="13" s="1"/>
  <c r="E13" i="13"/>
  <c r="C13" i="13" s="1"/>
  <c r="K549" i="1"/>
  <c r="L382" i="1"/>
  <c r="G257" i="1"/>
  <c r="G271" i="1" s="1"/>
  <c r="C85" i="2"/>
  <c r="C91" i="2" s="1"/>
  <c r="H661" i="1"/>
  <c r="C20" i="10"/>
  <c r="A13" i="12"/>
  <c r="D29" i="13"/>
  <c r="C29" i="13" s="1"/>
  <c r="D12" i="13"/>
  <c r="C12" i="13" s="1"/>
  <c r="D5" i="13"/>
  <c r="C5" i="13" s="1"/>
  <c r="E8" i="13"/>
  <c r="C8" i="13" s="1"/>
  <c r="H338" i="1"/>
  <c r="H352" i="1" s="1"/>
  <c r="G22" i="13"/>
  <c r="C22" i="13" s="1"/>
  <c r="L539" i="1"/>
  <c r="K503" i="1"/>
  <c r="K338" i="1"/>
  <c r="K352" i="1" s="1"/>
  <c r="I33" i="13"/>
  <c r="E81" i="2"/>
  <c r="E104" i="2" s="1"/>
  <c r="L290" i="1"/>
  <c r="F660" i="1" s="1"/>
  <c r="C26" i="10"/>
  <c r="L544" i="1"/>
  <c r="L524" i="1"/>
  <c r="J338" i="1"/>
  <c r="J352" i="1" s="1"/>
  <c r="D127" i="2"/>
  <c r="D128" i="2" s="1"/>
  <c r="D145" i="2" s="1"/>
  <c r="E112" i="2"/>
  <c r="E115" i="2" s="1"/>
  <c r="C16" i="10"/>
  <c r="D17" i="13"/>
  <c r="C17" i="13" s="1"/>
  <c r="D7" i="13"/>
  <c r="C7" i="13" s="1"/>
  <c r="E16" i="13"/>
  <c r="C16" i="13" s="1"/>
  <c r="C10" i="10"/>
  <c r="C109" i="2"/>
  <c r="L229" i="1"/>
  <c r="G24" i="14" s="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L571" i="1"/>
  <c r="I192" i="1"/>
  <c r="E91" i="2"/>
  <c r="J654" i="1"/>
  <c r="J653" i="1"/>
  <c r="G21" i="2"/>
  <c r="G31" i="2" s="1"/>
  <c r="J32" i="1"/>
  <c r="J434" i="1"/>
  <c r="F434" i="1"/>
  <c r="K434" i="1"/>
  <c r="G134" i="2" s="1"/>
  <c r="G144" i="2" s="1"/>
  <c r="G145" i="2" s="1"/>
  <c r="G31" i="13"/>
  <c r="J193" i="1"/>
  <c r="H193" i="1"/>
  <c r="G169" i="1"/>
  <c r="C39" i="10" s="1"/>
  <c r="G140" i="1"/>
  <c r="F140" i="1"/>
  <c r="F193" i="1" s="1"/>
  <c r="G63" i="2"/>
  <c r="J618" i="1"/>
  <c r="G42" i="2"/>
  <c r="J51" i="1"/>
  <c r="G16" i="2"/>
  <c r="G18" i="2" s="1"/>
  <c r="J19" i="1"/>
  <c r="G621" i="1" s="1"/>
  <c r="F545" i="1"/>
  <c r="H434" i="1"/>
  <c r="J620" i="1"/>
  <c r="D103" i="2"/>
  <c r="I140" i="1"/>
  <c r="A22" i="12"/>
  <c r="G50" i="2"/>
  <c r="G51" i="2" s="1"/>
  <c r="J652" i="1"/>
  <c r="G571" i="1"/>
  <c r="I434" i="1"/>
  <c r="G434" i="1"/>
  <c r="I663" i="1"/>
  <c r="G627" i="1" l="1"/>
  <c r="F468" i="1"/>
  <c r="G646" i="1"/>
  <c r="J468" i="1"/>
  <c r="I193" i="1"/>
  <c r="G635" i="1"/>
  <c r="G472" i="1"/>
  <c r="C128" i="2"/>
  <c r="G636" i="1"/>
  <c r="I472" i="1"/>
  <c r="K552" i="1"/>
  <c r="G638" i="1"/>
  <c r="J472" i="1"/>
  <c r="G629" i="1"/>
  <c r="H468" i="1"/>
  <c r="E128" i="2"/>
  <c r="E145" i="2" s="1"/>
  <c r="H660" i="1"/>
  <c r="H664" i="1" s="1"/>
  <c r="C27" i="10"/>
  <c r="C28" i="10" s="1"/>
  <c r="D23" i="10" s="1"/>
  <c r="F664" i="1"/>
  <c r="F672" i="1" s="1"/>
  <c r="C4" i="10" s="1"/>
  <c r="G36" i="14"/>
  <c r="H36" i="14" s="1"/>
  <c r="I36" i="14" s="1"/>
  <c r="C63" i="2"/>
  <c r="C104" i="2" s="1"/>
  <c r="I461" i="1"/>
  <c r="H642" i="1" s="1"/>
  <c r="J642" i="1" s="1"/>
  <c r="F104" i="2"/>
  <c r="D104" i="2"/>
  <c r="L408" i="1"/>
  <c r="C141" i="2"/>
  <c r="C144" i="2" s="1"/>
  <c r="D31" i="13"/>
  <c r="C31" i="13" s="1"/>
  <c r="H648" i="1"/>
  <c r="J648" i="1" s="1"/>
  <c r="G104" i="2"/>
  <c r="G33" i="13"/>
  <c r="G660" i="1"/>
  <c r="G664" i="1" s="1"/>
  <c r="G667" i="1" s="1"/>
  <c r="E33" i="13"/>
  <c r="D35" i="13" s="1"/>
  <c r="G4" i="14"/>
  <c r="H4" i="14" s="1"/>
  <c r="I4" i="14" s="1"/>
  <c r="L257" i="1"/>
  <c r="L271" i="1" s="1"/>
  <c r="L338" i="1"/>
  <c r="C115" i="2"/>
  <c r="L545" i="1"/>
  <c r="I661" i="1"/>
  <c r="H24" i="14"/>
  <c r="I24" i="14" s="1"/>
  <c r="C51" i="2"/>
  <c r="G631" i="1"/>
  <c r="G193" i="1"/>
  <c r="G626" i="1"/>
  <c r="J52" i="1"/>
  <c r="H621" i="1" s="1"/>
  <c r="J621" i="1" s="1"/>
  <c r="C38" i="10"/>
  <c r="H635" i="1" l="1"/>
  <c r="G474" i="1"/>
  <c r="H637" i="1"/>
  <c r="H631" i="1"/>
  <c r="J470" i="1"/>
  <c r="L352" i="1"/>
  <c r="G633" i="1" s="1"/>
  <c r="H472" i="1"/>
  <c r="J635" i="1"/>
  <c r="F470" i="1"/>
  <c r="H627" i="1"/>
  <c r="J631" i="1"/>
  <c r="G630" i="1"/>
  <c r="I468" i="1"/>
  <c r="J627" i="1"/>
  <c r="I474" i="1"/>
  <c r="H636" i="1"/>
  <c r="J636" i="1" s="1"/>
  <c r="G632" i="1"/>
  <c r="F472" i="1"/>
  <c r="J474" i="1"/>
  <c r="J476" i="1" s="1"/>
  <c r="H626" i="1" s="1"/>
  <c r="J626" i="1" s="1"/>
  <c r="H638" i="1"/>
  <c r="J638" i="1" s="1"/>
  <c r="H629" i="1"/>
  <c r="J629" i="1" s="1"/>
  <c r="H470" i="1"/>
  <c r="G628" i="1"/>
  <c r="G468" i="1"/>
  <c r="F667" i="1"/>
  <c r="I660" i="1"/>
  <c r="I664" i="1" s="1"/>
  <c r="I672" i="1" s="1"/>
  <c r="C7" i="10" s="1"/>
  <c r="C145" i="2"/>
  <c r="D25" i="10"/>
  <c r="G672" i="1"/>
  <c r="C5" i="10" s="1"/>
  <c r="G637" i="1"/>
  <c r="J637" i="1" s="1"/>
  <c r="H646" i="1"/>
  <c r="J646" i="1" s="1"/>
  <c r="H667" i="1"/>
  <c r="H672" i="1"/>
  <c r="C6" i="10" s="1"/>
  <c r="D22" i="10"/>
  <c r="D18" i="10"/>
  <c r="D27" i="10"/>
  <c r="D15" i="10"/>
  <c r="D21" i="10"/>
  <c r="D24" i="10"/>
  <c r="D20" i="10"/>
  <c r="D11" i="10"/>
  <c r="D12" i="10"/>
  <c r="D13" i="10"/>
  <c r="D17" i="10"/>
  <c r="D19" i="10"/>
  <c r="D10" i="10"/>
  <c r="D26" i="10"/>
  <c r="C30" i="10"/>
  <c r="D16" i="10"/>
  <c r="D33" i="13"/>
  <c r="D36" i="13" s="1"/>
  <c r="C41" i="10"/>
  <c r="D38" i="10" s="1"/>
  <c r="H474" i="1" l="1"/>
  <c r="H476" i="1" s="1"/>
  <c r="H624" i="1" s="1"/>
  <c r="J624" i="1" s="1"/>
  <c r="H633" i="1"/>
  <c r="J633" i="1"/>
  <c r="H630" i="1"/>
  <c r="J630" i="1" s="1"/>
  <c r="I470" i="1"/>
  <c r="I476" i="1" s="1"/>
  <c r="H625" i="1" s="1"/>
  <c r="J625" i="1" s="1"/>
  <c r="H632" i="1"/>
  <c r="J632" i="1" s="1"/>
  <c r="F474" i="1"/>
  <c r="F476" i="1" s="1"/>
  <c r="H622" i="1" s="1"/>
  <c r="J622" i="1" s="1"/>
  <c r="G470" i="1"/>
  <c r="G476" i="1" s="1"/>
  <c r="H623" i="1" s="1"/>
  <c r="H628" i="1"/>
  <c r="J628" i="1" s="1"/>
  <c r="I667" i="1"/>
  <c r="D28" i="10"/>
  <c r="D37" i="10"/>
  <c r="D36" i="10"/>
  <c r="D35" i="10"/>
  <c r="D40" i="10"/>
  <c r="D39" i="10"/>
  <c r="J623" i="1" l="1"/>
  <c r="H656" i="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<sst xmlns="http://schemas.openxmlformats.org/spreadsheetml/2006/main" count="5523" uniqueCount="1627">
  <si>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</si>
  <si>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</si>
  <si>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</si>
  <si>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</si>
  <si>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</si>
  <si>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</si>
  <si>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</si>
  <si>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</si>
  <si>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</si>
  <si>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</si>
  <si>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</si>
  <si>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</si>
  <si>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</si>
  <si>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</si>
  <si>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</si>
  <si>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</si>
  <si>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</si>
  <si>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</si>
  <si>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</si>
  <si>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</si>
  <si>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</si>
  <si>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</si>
  <si>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</si>
  <si>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</si>
  <si>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</si>
  <si>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</si>
  <si>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</si>
  <si>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</si>
  <si>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</si>
  <si>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</si>
  <si>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</si>
  <si>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</si>
  <si>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</si>
  <si>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</si>
  <si>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</si>
  <si>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</si>
  <si>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</si>
  <si>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</si>
  <si>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</si>
  <si>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</si>
  <si>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</si>
  <si>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</si>
  <si>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</si>
  <si>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</si>
  <si>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</si>
  <si>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</si>
  <si>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</si>
  <si>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</si>
  <si>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</si>
  <si>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</si>
  <si>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</si>
  <si>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</si>
  <si>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</si>
  <si>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</si>
  <si>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</si>
  <si>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</si>
  <si>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</si>
  <si>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</si>
  <si>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</si>
  <si>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</si>
  <si>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</si>
  <si>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</si>
  <si>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</si>
  <si>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</si>
  <si>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</si>
  <si>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</si>
  <si>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</si>
  <si>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</si>
  <si>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</si>
  <si>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</si>
  <si>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</si>
  <si>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</si>
  <si>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</si>
  <si>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</si>
  <si>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</si>
  <si>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</si>
  <si>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</si>
  <si>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</si>
  <si>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</si>
  <si>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</si>
  <si>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</si>
  <si>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</si>
  <si>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</si>
  <si>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</si>
  <si>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</si>
  <si>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</si>
  <si>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</si>
  <si>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</si>
  <si>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</si>
  <si>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</si>
  <si>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</si>
  <si>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</si>
  <si>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</si>
  <si>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</si>
  <si>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</si>
  <si>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</si>
  <si>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</si>
  <si>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</si>
  <si>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</si>
  <si>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</si>
  <si>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</si>
  <si>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</si>
  <si>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</si>
  <si>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</si>
  <si>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</si>
  <si>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</si>
  <si>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</si>
  <si>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</si>
  <si>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</si>
  <si>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</si>
  <si>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</si>
  <si>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</si>
  <si>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</si>
  <si>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</si>
  <si>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</si>
  <si>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</si>
  <si>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</si>
  <si>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</si>
  <si>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</si>
  <si>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</si>
  <si>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</si>
  <si>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</si>
  <si>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</si>
  <si>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</si>
  <si>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</si>
  <si>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</si>
  <si>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</si>
  <si>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</si>
  <si>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</si>
  <si>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</si>
  <si>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</si>
  <si>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</si>
  <si>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</si>
  <si>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</si>
  <si>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</si>
  <si>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</si>
  <si>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</si>
  <si>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</si>
  <si>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</si>
  <si>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</si>
  <si>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</si>
  <si>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</si>
  <si>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</si>
  <si>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</si>
  <si>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</si>
  <si>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</si>
  <si>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</si>
  <si>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</si>
  <si>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</si>
  <si>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</si>
  <si>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</si>
  <si>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</si>
  <si>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</si>
  <si>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</si>
  <si>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</si>
  <si>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</si>
  <si>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</si>
  <si>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</si>
  <si>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</si>
  <si>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</si>
  <si>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</si>
  <si>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</si>
  <si>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</si>
  <si>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</si>
  <si>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</si>
  <si>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</si>
  <si>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</si>
  <si>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</si>
  <si>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</si>
  <si>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</si>
  <si>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</si>
  <si>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</si>
  <si>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</si>
  <si>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</si>
  <si>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</si>
  <si>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</si>
  <si>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</si>
  <si>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</si>
  <si>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</si>
  <si>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</si>
  <si>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</si>
  <si>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</si>
  <si>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</si>
  <si>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</si>
  <si>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</si>
  <si>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</si>
  <si>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</si>
  <si>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</si>
  <si>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</si>
  <si>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</si>
  <si>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</si>
  <si>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</si>
  <si>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</si>
  <si>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</si>
  <si>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</si>
  <si>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</si>
  <si>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</si>
  <si>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</si>
  <si>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</si>
  <si>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</si>
  <si>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</si>
  <si>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</si>
  <si>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</si>
  <si>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</si>
  <si>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</si>
  <si>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</si>
  <si>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</si>
  <si>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</si>
  <si>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</si>
  <si>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</si>
  <si>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</si>
  <si>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</si>
  <si>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</si>
  <si>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</si>
  <si>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</si>
  <si>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</si>
  <si>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</si>
  <si>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</si>
  <si>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</si>
  <si>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</si>
  <si>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</si>
  <si>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</si>
  <si>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</si>
  <si>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</si>
  <si>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</si>
  <si>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</si>
  <si>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</si>
  <si>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</si>
  <si>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</si>
  <si>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</si>
  <si>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</si>
  <si>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</si>
  <si>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</si>
  <si>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</si>
  <si>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</si>
  <si>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</si>
  <si>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</si>
  <si>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</si>
  <si>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</si>
  <si>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</si>
  <si>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</si>
  <si>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</si>
  <si>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</si>
  <si>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</si>
  <si>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</si>
  <si>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</si>
  <si>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</si>
  <si>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</si>
  <si>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</si>
  <si>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</si>
  <si>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</si>
  <si>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</si>
  <si>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</si>
  <si>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</si>
  <si>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</si>
  <si>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</si>
  <si>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</si>
  <si>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</si>
  <si>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</si>
  <si>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</si>
  <si>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</si>
  <si>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</si>
  <si>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</si>
  <si>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</si>
  <si>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</si>
  <si>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</si>
  <si>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</si>
  <si>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</si>
  <si>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</si>
  <si>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</si>
  <si>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</si>
  <si>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</si>
  <si>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</si>
  <si>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</si>
  <si>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</si>
  <si>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</si>
  <si>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</si>
  <si>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</si>
  <si>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</si>
  <si>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</si>
  <si>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</si>
  <si>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</si>
  <si>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</si>
  <si>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</si>
  <si>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</si>
  <si>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</si>
  <si>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</si>
  <si>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</si>
  <si>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</si>
  <si>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</si>
  <si>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</si>
  <si>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</si>
  <si>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</si>
  <si>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</si>
  <si>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</si>
  <si>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</si>
  <si>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</si>
  <si>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</si>
  <si>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</si>
  <si>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</si>
  <si>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</si>
  <si>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</si>
  <si>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</si>
  <si>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</si>
  <si>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</si>
  <si>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</si>
  <si>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</si>
  <si>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</si>
  <si>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</si>
  <si>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</si>
  <si>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</si>
  <si>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</si>
  <si>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</si>
  <si>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</si>
  <si>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</si>
  <si>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</si>
  <si>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</si>
  <si>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</si>
  <si>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</si>
  <si>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</si>
  <si>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</si>
  <si>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</si>
  <si>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</si>
  <si>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</si>
  <si>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</si>
  <si>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</si>
  <si>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</si>
  <si>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</si>
  <si>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</si>
  <si>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</si>
  <si>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</si>
  <si>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</si>
  <si>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</si>
  <si>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</si>
  <si>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</si>
  <si>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</si>
  <si>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</si>
  <si>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</si>
  <si>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</si>
  <si>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</si>
  <si>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</si>
  <si>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</si>
  <si>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</si>
  <si>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</si>
  <si>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</si>
  <si>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</si>
  <si>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</si>
  <si>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</si>
  <si>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</si>
  <si>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</si>
  <si>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</si>
  <si>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</si>
  <si>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</si>
  <si>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</si>
  <si>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</si>
  <si>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</si>
  <si>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</si>
  <si>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</si>
  <si>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</si>
  <si>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</si>
  <si>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</si>
  <si>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</si>
  <si>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</si>
  <si>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</si>
  <si>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</si>
  <si>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</si>
  <si>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</si>
  <si>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</si>
  <si>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</si>
  <si>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</si>
  <si>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</si>
  <si>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</si>
  <si>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</si>
  <si>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</si>
  <si>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</si>
  <si>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</si>
  <si>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</si>
  <si>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</si>
  <si>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</si>
  <si>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</si>
  <si>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</si>
  <si>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</si>
  <si>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</si>
  <si>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</si>
  <si>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</si>
  <si>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</si>
  <si>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</si>
  <si>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</si>
  <si>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</si>
  <si>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</si>
  <si>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</si>
  <si>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</si>
  <si>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</si>
  <si>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</si>
  <si>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</si>
  <si>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</si>
  <si>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</si>
  <si>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</si>
  <si>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</si>
  <si>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</si>
  <si>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</si>
  <si>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</si>
  <si>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</si>
  <si>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</si>
  <si>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</si>
  <si>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</si>
  <si>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</si>
  <si>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</si>
  <si>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</si>
  <si>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</si>
  <si>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</si>
  <si>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</si>
  <si>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</si>
  <si>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</si>
  <si>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</si>
  <si>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</si>
  <si>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</si>
  <si>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</si>
  <si>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</si>
  <si>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</si>
  <si>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</si>
  <si>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</si>
  <si>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</si>
  <si>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</si>
  <si>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</si>
  <si>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</si>
  <si>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</si>
  <si>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</si>
  <si>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</si>
  <si>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</si>
  <si>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</si>
  <si>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</si>
  <si>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</si>
  <si>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</si>
  <si>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</si>
  <si>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</si>
  <si>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</si>
  <si>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</si>
  <si>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</si>
  <si>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</si>
  <si>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</si>
  <si>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</si>
  <si>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</si>
  <si>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</si>
  <si>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</si>
  <si>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</si>
  <si>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</si>
  <si>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</si>
  <si>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</si>
  <si>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</si>
  <si>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</si>
  <si>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</si>
  <si>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</si>
  <si>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</si>
  <si>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</si>
  <si>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</si>
  <si>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</si>
  <si>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</si>
  <si>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</si>
  <si>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</si>
  <si>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</si>
  <si>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</si>
  <si>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</si>
  <si>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</si>
  <si>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</si>
  <si>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</si>
  <si>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</si>
  <si>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</si>
  <si>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</si>
  <si>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</si>
  <si>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</si>
  <si>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</si>
  <si>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</si>
  <si>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</si>
  <si>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</si>
  <si>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</si>
  <si>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</si>
  <si>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</si>
  <si>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</si>
  <si>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</si>
  <si>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</si>
  <si>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</si>
  <si>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</si>
  <si>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</si>
  <si>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</si>
  <si>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</si>
  <si>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</si>
  <si>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</si>
  <si>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</si>
  <si>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</si>
  <si>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</si>
  <si>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</si>
  <si>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</si>
  <si>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</si>
  <si>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</si>
  <si>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</si>
  <si>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</si>
  <si>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</si>
  <si>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</si>
  <si>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</si>
  <si>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</si>
  <si>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</si>
  <si>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</si>
  <si>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</si>
  <si>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</si>
  <si>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</si>
  <si>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</si>
  <si>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</si>
  <si>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</si>
  <si>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</si>
  <si>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</si>
  <si>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</si>
  <si>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</si>
  <si>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</si>
  <si>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</si>
  <si>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</si>
  <si>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</si>
  <si>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</si>
  <si>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</si>
  <si>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</si>
  <si>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</si>
  <si>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</si>
  <si>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</si>
  <si>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</si>
  <si>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</si>
  <si>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</si>
  <si>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</si>
  <si>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</si>
  <si>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</si>
  <si>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</si>
  <si>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</si>
  <si>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</si>
  <si>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</si>
  <si>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</si>
  <si>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</si>
  <si>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</si>
  <si>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</si>
  <si>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</si>
  <si>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</si>
  <si>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</si>
  <si>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</si>
  <si>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</si>
  <si>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</si>
  <si>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</si>
  <si>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</si>
  <si>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</si>
  <si>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</si>
  <si>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</si>
  <si>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</si>
  <si>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</si>
  <si>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</si>
  <si>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</si>
  <si>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</si>
  <si>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</si>
  <si>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</si>
  <si>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</si>
  <si>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</si>
  <si>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</si>
  <si>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</si>
  <si>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</si>
  <si>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</si>
  <si>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</si>
  <si>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</si>
  <si>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</si>
  <si>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</si>
  <si>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</si>
  <si>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</si>
  <si>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</si>
  <si>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</si>
  <si>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</si>
  <si>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</si>
  <si>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</si>
  <si>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</si>
  <si>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</si>
  <si>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</si>
  <si>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</si>
  <si>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</si>
  <si>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</si>
  <si>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</si>
  <si>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</si>
  <si>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</si>
  <si>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</si>
  <si>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</si>
  <si>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</si>
  <si>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</si>
  <si>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</si>
  <si>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</si>
  <si>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</si>
  <si>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</si>
  <si>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</si>
  <si>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</si>
  <si>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</si>
  <si>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</si>
  <si>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</si>
  <si>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</si>
  <si>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</si>
  <si>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</si>
  <si>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</si>
  <si>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</si>
  <si>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</si>
  <si>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</si>
  <si>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</si>
  <si>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</si>
  <si>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</si>
  <si>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</si>
  <si>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</si>
  <si>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</si>
  <si>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</si>
  <si>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</si>
  <si>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</si>
  <si>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</si>
  <si>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</si>
  <si>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</si>
  <si>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</si>
  <si>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</si>
  <si>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</si>
  <si>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</si>
  <si>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</si>
  <si>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</si>
  <si>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</si>
  <si>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</si>
  <si>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</si>
  <si>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</si>
  <si>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</si>
  <si>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</si>
  <si>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</si>
  <si>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</si>
  <si>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</si>
  <si>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</si>
  <si>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</si>
  <si>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</si>
  <si>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</si>
  <si>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</si>
  <si>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</si>
  <si>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</si>
  <si>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</si>
  <si>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</si>
  <si>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</si>
  <si>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</si>
  <si>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</si>
  <si>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</si>
  <si>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</si>
  <si>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</si>
  <si>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</si>
  <si>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</si>
  <si>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</si>
  <si>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</si>
  <si>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</si>
  <si>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</si>
  <si>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</si>
  <si>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</si>
  <si>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</si>
  <si>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</si>
  <si>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</si>
  <si>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</si>
  <si>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</si>
  <si>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</si>
  <si>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</si>
  <si>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</si>
  <si>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</si>
  <si>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</si>
  <si>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</si>
  <si>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</si>
  <si>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</si>
  <si>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</si>
  <si>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</si>
  <si>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</si>
  <si>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</si>
  <si>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</si>
  <si>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</si>
  <si>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</si>
  <si>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</si>
  <si>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</si>
  <si>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</si>
  <si>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</si>
  <si>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</si>
  <si>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</si>
  <si>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</si>
  <si>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</si>
  <si>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</si>
  <si>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</si>
  <si>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</si>
  <si>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</si>
  <si>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</si>
  <si>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</si>
  <si>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</si>
  <si>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</si>
  <si>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</si>
  <si>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</si>
  <si>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</si>
  <si>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</si>
  <si>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</si>
  <si>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</si>
  <si>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</si>
  <si>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</si>
  <si>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</si>
  <si>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</si>
  <si>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</si>
  <si>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</si>
  <si>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</si>
  <si>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</si>
  <si>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</si>
  <si>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</si>
  <si>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</si>
  <si>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</si>
  <si>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</si>
  <si>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</si>
  <si>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</si>
  <si>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</si>
  <si>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</si>
  <si>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</si>
  <si>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</si>
  <si>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</si>
  <si>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</si>
  <si>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</si>
  <si>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</si>
  <si>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</si>
  <si>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</si>
  <si>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</si>
  <si>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</si>
  <si>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</si>
  <si>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</si>
  <si>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</si>
  <si>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</si>
  <si>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</si>
  <si>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</si>
  <si>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</si>
  <si>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</si>
  <si>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</si>
  <si>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</si>
  <si>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</si>
  <si>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</si>
  <si>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</si>
  <si>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</si>
  <si>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</si>
  <si>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</si>
  <si>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</si>
  <si>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</si>
  <si>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</si>
  <si>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</si>
  <si>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</si>
  <si>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</si>
  <si>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</si>
  <si>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</si>
  <si>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</si>
  <si>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</si>
  <si>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</si>
  <si>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</si>
  <si>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</si>
  <si>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</si>
  <si>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</si>
  <si>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</si>
  <si>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</si>
  <si>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</si>
  <si>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</si>
  <si>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</si>
  <si>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</si>
  <si>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</si>
  <si>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</si>
  <si>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</si>
  <si>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</si>
  <si>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</si>
  <si>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</si>
  <si>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</si>
  <si>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</si>
  <si>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</si>
  <si>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</si>
  <si>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</si>
  <si>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</si>
  <si>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</si>
  <si>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</si>
  <si>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</si>
  <si>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</si>
  <si>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</si>
  <si>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</si>
  <si>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</si>
  <si>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</si>
  <si>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</si>
  <si>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</si>
  <si>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</si>
  <si>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</si>
  <si>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</si>
  <si>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</si>
  <si>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</si>
  <si>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</si>
  <si>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</si>
  <si>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</si>
  <si>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</si>
  <si>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</si>
  <si>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</si>
  <si>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</si>
  <si>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</si>
  <si>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</si>
  <si>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</si>
  <si>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</si>
  <si>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</si>
  <si>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</si>
  <si>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</si>
  <si>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</si>
  <si>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</si>
  <si>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</si>
  <si>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</si>
  <si>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</si>
  <si>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</si>
  <si>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</si>
  <si>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</si>
  <si>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</si>
  <si>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</si>
  <si>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</si>
  <si>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</si>
  <si>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</si>
  <si>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</si>
  <si>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</si>
  <si>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</si>
  <si>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</si>
  <si>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</si>
  <si>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</si>
  <si>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</si>
  <si>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</si>
  <si>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</si>
  <si>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</si>
  <si>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</si>
  <si>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</si>
  <si>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</si>
  <si>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</si>
  <si>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</si>
  <si>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</si>
  <si>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</si>
  <si>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</si>
  <si>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</si>
  <si>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</si>
  <si>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</si>
  <si>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</si>
  <si>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</si>
  <si>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</si>
  <si>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</si>
  <si>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</si>
  <si>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</si>
  <si>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</si>
  <si>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</si>
  <si>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</si>
  <si>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</si>
  <si>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</si>
  <si>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</si>
  <si>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</si>
  <si>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</si>
  <si>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</si>
  <si>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</si>
  <si>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</si>
  <si>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</si>
  <si>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</si>
  <si>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</si>
  <si>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</si>
  <si>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</si>
  <si>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</si>
  <si>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</si>
  <si>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</si>
  <si>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</si>
  <si>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</si>
  <si>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</si>
  <si>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</si>
  <si>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</si>
  <si>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</si>
  <si>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</si>
  <si>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</si>
  <si>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</si>
  <si>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</si>
  <si>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</si>
  <si>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</si>
  <si>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</si>
  <si>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</si>
  <si>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</si>
  <si>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</si>
  <si>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</si>
  <si>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</si>
  <si>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</si>
  <si>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</si>
  <si>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</si>
  <si>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</si>
  <si>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</si>
  <si>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</si>
  <si>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</si>
  <si>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</si>
  <si>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</si>
  <si>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</si>
  <si>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</si>
  <si>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</si>
  <si>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</si>
  <si>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</si>
  <si>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</si>
  <si>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</si>
  <si>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</si>
  <si>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</si>
  <si>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</si>
  <si>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</si>
  <si>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</si>
  <si>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</si>
  <si>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</si>
  <si>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</si>
  <si>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</si>
  <si>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</si>
  <si>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</si>
  <si>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</si>
  <si>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</si>
  <si>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</si>
  <si>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</si>
  <si>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</si>
  <si>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</si>
  <si>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</si>
  <si>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</si>
  <si>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</si>
  <si>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</si>
  <si>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</si>
  <si>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</si>
  <si>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</si>
  <si>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</si>
  <si>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</si>
  <si>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</si>
  <si>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</si>
  <si>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</si>
  <si>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</si>
  <si>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</si>
  <si>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</si>
  <si>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</si>
  <si>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</si>
  <si>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</si>
  <si>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</si>
  <si>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</si>
  <si>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</si>
  <si>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</si>
  <si>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</si>
  <si>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</si>
  <si>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</si>
  <si>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</si>
  <si>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</si>
  <si>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</si>
  <si>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</si>
  <si>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</si>
  <si>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</si>
  <si>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</si>
  <si>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</si>
  <si>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</si>
  <si>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</si>
  <si>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</si>
  <si>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</si>
  <si>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</si>
  <si>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</si>
  <si>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</si>
  <si>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</si>
  <si>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</si>
  <si>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</si>
  <si>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</si>
  <si>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</si>
  <si>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</si>
  <si>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</si>
  <si>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</si>
  <si>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</si>
  <si>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</si>
  <si>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</si>
  <si>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</si>
  <si>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</si>
  <si>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</si>
  <si>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</si>
  <si>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</si>
  <si>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</si>
  <si>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</si>
  <si>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</si>
  <si>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</si>
  <si>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</si>
  <si>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</si>
  <si>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</si>
  <si>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</si>
  <si>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</si>
  <si>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</si>
  <si>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</si>
  <si>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</si>
  <si>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</si>
  <si>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</si>
  <si>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</si>
  <si>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</si>
  <si>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</si>
  <si>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</si>
  <si>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</si>
  <si>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</si>
  <si>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</si>
  <si>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</si>
  <si>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</si>
  <si>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</si>
  <si>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</si>
  <si>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</si>
  <si>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</si>
  <si>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</si>
  <si>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</si>
  <si>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</si>
  <si>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</si>
  <si>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</si>
  <si>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</si>
  <si>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</si>
  <si>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</si>
  <si>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</si>
  <si>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</si>
  <si>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</si>
  <si>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</si>
  <si>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</si>
  <si>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</si>
  <si>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</si>
  <si>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</si>
  <si>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</si>
  <si>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</si>
  <si>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</si>
  <si>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</si>
  <si>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</si>
  <si>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</si>
  <si>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</si>
  <si>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</si>
  <si>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</si>
  <si>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</si>
  <si>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</si>
  <si>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</si>
  <si>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</si>
  <si>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</si>
  <si>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</si>
  <si>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</si>
  <si>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</si>
  <si>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</si>
  <si>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</si>
  <si>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</si>
  <si>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</si>
  <si>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</si>
  <si>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</si>
  <si>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</si>
  <si>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</si>
  <si>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</si>
  <si>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</si>
  <si>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</si>
  <si>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</si>
  <si>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</si>
  <si>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</si>
  <si>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</si>
  <si>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</si>
  <si>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</si>
  <si>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</si>
  <si>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</si>
  <si>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</si>
  <si>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</si>
  <si>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</si>
  <si>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</si>
  <si>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</si>
  <si>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</si>
  <si>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</si>
  <si>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</si>
  <si>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</si>
  <si>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</si>
  <si>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</si>
  <si>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</si>
  <si>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</si>
  <si>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</si>
  <si>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</si>
  <si>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</si>
  <si>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</si>
  <si>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</si>
  <si>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</si>
  <si>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</si>
  <si>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</si>
  <si>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</si>
  <si>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</si>
  <si>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</si>
  <si>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</si>
  <si>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</si>
  <si>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</si>
  <si>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</si>
  <si>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</si>
  <si>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</si>
  <si>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</si>
  <si>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</si>
  <si>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</si>
  <si>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</si>
  <si>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</si>
  <si>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</si>
  <si>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</si>
  <si>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</si>
  <si>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</si>
  <si>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</si>
  <si>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</si>
  <si>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</si>
  <si>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</si>
  <si>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</si>
  <si>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</si>
  <si>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</si>
  <si>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</si>
  <si>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</si>
  <si>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</si>
  <si>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</si>
  <si>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</si>
  <si>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</si>
  <si>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</si>
  <si>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</si>
  <si>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</si>
  <si>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</si>
  <si>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</si>
  <si>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</si>
  <si>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</si>
  <si>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</si>
  <si>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</si>
  <si>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</si>
  <si>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</si>
  <si>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</si>
  <si>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</si>
  <si>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</si>
  <si>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</si>
  <si>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</si>
  <si>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</si>
  <si>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</si>
  <si>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</si>
  <si>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</si>
  <si>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</si>
  <si>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</si>
  <si>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</si>
  <si>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</si>
  <si>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</si>
  <si>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</si>
  <si>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</si>
  <si>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</si>
  <si>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</si>
  <si>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</si>
  <si>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</si>
  <si>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</si>
  <si>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</si>
  <si>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</si>
  <si>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</si>
  <si>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</si>
  <si>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</si>
  <si>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</si>
  <si>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</si>
  <si>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</si>
  <si>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</si>
  <si>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</si>
  <si>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</si>
  <si>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</si>
  <si>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</si>
  <si>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</si>
  <si>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</si>
  <si>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</si>
  <si>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</si>
  <si>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</si>
  <si>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</si>
  <si>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</si>
  <si>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</si>
  <si>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</si>
  <si>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</si>
  <si>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</si>
  <si>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</si>
  <si>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</si>
  <si>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</si>
  <si>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</si>
  <si>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</si>
  <si>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</si>
  <si>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</si>
  <si>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</si>
  <si>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</si>
  <si>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</si>
  <si>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</si>
  <si>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</si>
  <si>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</si>
  <si>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</si>
  <si>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</si>
  <si>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</si>
  <si>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</si>
  <si>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</si>
  <si>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</si>
  <si>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</si>
  <si>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</si>
  <si>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</si>
  <si>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</si>
  <si>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</si>
  <si>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</si>
  <si>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</si>
  <si>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</si>
  <si>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</si>
  <si>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</si>
  <si>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</si>
  <si>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</si>
  <si>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</si>
  <si>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</si>
  <si>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</si>
  <si>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</si>
  <si>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</si>
  <si>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</si>
  <si>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</si>
  <si>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</si>
  <si>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</si>
  <si>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</si>
  <si>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</si>
  <si>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</si>
  <si>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</si>
  <si>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</si>
  <si>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</si>
  <si>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</si>
  <si>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</si>
  <si>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</si>
  <si>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</si>
  <si>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</si>
  <si>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</si>
  <si>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</si>
  <si>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</si>
  <si>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</si>
  <si>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</si>
  <si>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</si>
  <si>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</si>
  <si>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</si>
  <si>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</si>
  <si>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</si>
  <si>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</si>
  <si>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</si>
  <si>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</si>
  <si>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</si>
  <si>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</si>
  <si>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</si>
  <si>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</si>
  <si>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</si>
  <si>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</si>
  <si>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</si>
  <si>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</si>
  <si>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</si>
  <si>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</si>
  <si>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</si>
  <si>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</si>
  <si>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</si>
  <si>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</si>
  <si>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</si>
  <si>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</si>
  <si>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</si>
  <si>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</si>
  <si>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</si>
  <si>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</si>
  <si>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</si>
  <si>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</si>
  <si>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</si>
  <si>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</si>
  <si>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</si>
  <si>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</si>
  <si>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</si>
  <si>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</si>
  <si>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</si>
  <si>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</si>
  <si>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</si>
  <si>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</si>
  <si>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</si>
  <si>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</si>
  <si>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</si>
  <si>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</si>
  <si>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</si>
  <si>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</si>
  <si>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</si>
  <si>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</si>
  <si>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</si>
  <si>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</si>
  <si>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</si>
  <si>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</si>
  <si>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</si>
  <si>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</si>
  <si>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</si>
  <si>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</si>
  <si>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</si>
  <si>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</si>
  <si>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</si>
  <si>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</si>
  <si>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</si>
  <si>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</si>
  <si>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</si>
  <si>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</si>
  <si>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</si>
  <si>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</si>
  <si>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</si>
  <si>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</si>
  <si>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</si>
  <si>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</si>
  <si>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</si>
  <si>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</si>
  <si>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</si>
  <si>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</si>
  <si>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</si>
  <si>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</si>
  <si>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</si>
  <si>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</si>
  <si>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</si>
  <si>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</si>
  <si>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</si>
  <si>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</si>
  <si>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</si>
  <si>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</si>
  <si>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</si>
  <si>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</si>
  <si>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</si>
  <si>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</si>
  <si>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</si>
  <si>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</si>
  <si>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</si>
  <si>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</si>
  <si>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</si>
  <si>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</si>
  <si>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</si>
  <si>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</si>
  <si>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</si>
  <si>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</si>
  <si>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</si>
  <si>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</si>
  <si>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</si>
  <si>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</si>
  <si>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</si>
  <si>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</si>
  <si>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</si>
  <si>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</si>
  <si>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</si>
  <si>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</si>
  <si>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</si>
  <si>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</si>
  <si>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</si>
  <si>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</si>
  <si>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</si>
  <si>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</si>
  <si>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</si>
  <si>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</si>
  <si>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</si>
  <si>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</si>
  <si>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</si>
  <si>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</si>
  <si>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</si>
  <si>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</si>
  <si>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</si>
  <si>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</si>
  <si>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</si>
  <si>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</si>
  <si>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</si>
  <si>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</si>
  <si>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</si>
  <si>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</si>
  <si>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</si>
  <si>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</si>
  <si>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</si>
  <si>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</si>
  <si>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</si>
  <si>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</si>
  <si>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</si>
  <si>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</si>
  <si>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</si>
  <si>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</si>
  <si>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</si>
  <si>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</si>
  <si>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</si>
  <si>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</si>
  <si>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</si>
  <si>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</si>
  <si>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</si>
  <si>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</si>
  <si>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</si>
  <si>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</si>
  <si>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</si>
  <si>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</si>
  <si>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</si>
  <si>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</si>
  <si>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</si>
  <si>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</si>
  <si>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</si>
  <si>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</si>
  <si>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</si>
  <si>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</si>
  <si>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</si>
  <si>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</si>
  <si>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</si>
  <si>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</si>
  <si>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</si>
  <si>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</si>
  <si>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</si>
  <si>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</si>
  <si>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</si>
  <si>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</si>
  <si>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</si>
  <si>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</si>
  <si>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</si>
  <si>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</si>
  <si>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</si>
  <si>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</si>
  <si>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</si>
  <si>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</si>
  <si>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</si>
  <si>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</si>
  <si>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</si>
  <si>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</si>
  <si>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</si>
  <si>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</si>
  <si>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</si>
  <si>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</si>
  <si>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</si>
  <si>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</si>
  <si>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</si>
  <si>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</si>
  <si>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</si>
  <si>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</si>
  <si>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</si>
  <si>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</si>
  <si>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</si>
  <si>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</si>
  <si>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</si>
  <si>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</si>
  <si>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</si>
  <si>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</si>
  <si>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</si>
  <si>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</si>
  <si>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</si>
  <si>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</si>
  <si>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</si>
  <si>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</si>
  <si>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</si>
  <si>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</si>
  <si>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</si>
  <si>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</si>
  <si>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</si>
  <si>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</si>
  <si>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</si>
  <si>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</si>
  <si>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</si>
  <si>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</si>
  <si>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</si>
  <si>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</si>
  <si>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</si>
  <si>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</si>
  <si>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</si>
  <si>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</si>
  <si>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</si>
  <si>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</si>
  <si>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</si>
  <si>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</si>
  <si>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</si>
  <si>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</si>
  <si>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</si>
  <si>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</si>
  <si>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</si>
  <si>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</si>
  <si>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</si>
  <si>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</si>
  <si>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</si>
  <si>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</si>
  <si>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</si>
  <si>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</si>
  <si>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</si>
  <si>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</si>
  <si>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</si>
  <si>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</si>
  <si>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</si>
  <si>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</si>
  <si>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</si>
  <si>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</si>
  <si>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</si>
  <si>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</si>
  <si>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</si>
  <si>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</si>
  <si>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</si>
  <si>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</si>
  <si>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</si>
  <si>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</si>
  <si>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</si>
  <si>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</si>
  <si>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</si>
  <si>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</si>
  <si>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</si>
  <si>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</si>
  <si>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</si>
  <si>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</si>
  <si>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</si>
  <si>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</si>
  <si>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</si>
  <si>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</si>
  <si>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</si>
  <si>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</si>
  <si>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</si>
  <si>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</si>
  <si>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</si>
  <si>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</si>
  <si>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</si>
  <si>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</si>
  <si>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</si>
  <si>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</si>
  <si>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</si>
  <si>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</si>
  <si>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</si>
  <si>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</si>
  <si>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</si>
  <si>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</si>
  <si>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</si>
  <si>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</si>
  <si>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</si>
  <si>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</si>
  <si>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</si>
  <si>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</si>
  <si>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</si>
  <si>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</si>
  <si>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</si>
  <si>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</si>
  <si>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</si>
  <si>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</si>
  <si>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</si>
  <si>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</si>
  <si>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</si>
  <si>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</si>
  <si>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</si>
  <si>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</si>
  <si>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</si>
  <si>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</si>
  <si>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</si>
  <si>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</si>
  <si>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</si>
  <si>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</si>
  <si>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</si>
  <si>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</si>
  <si>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</si>
  <si>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</si>
  <si>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</si>
  <si>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</si>
  <si>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</si>
  <si>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</si>
  <si>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</si>
  <si>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</si>
  <si>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</si>
  <si>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</si>
  <si>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</si>
  <si>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</si>
  <si>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</si>
  <si>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</si>
  <si>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</si>
  <si>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</si>
  <si>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</si>
  <si>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</si>
  <si>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</si>
  <si>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</si>
  <si>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</si>
  <si>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</si>
  <si>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</si>
  <si>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</si>
  <si>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</si>
  <si>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</si>
  <si>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</si>
  <si>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</si>
  <si>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</si>
  <si>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</si>
  <si>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</si>
  <si>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</si>
  <si>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</si>
  <si>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</si>
  <si>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</si>
  <si>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</si>
  <si>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</si>
  <si>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</si>
  <si>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</si>
  <si>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</si>
  <si>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</si>
  <si>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</si>
  <si>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</si>
  <si>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</si>
  <si>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</si>
  <si>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</si>
  <si>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</si>
  <si>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</si>
  <si>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</si>
  <si>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</si>
  <si>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</si>
  <si>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</si>
  <si>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</si>
  <si>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</si>
  <si>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</si>
  <si>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</si>
  <si>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</si>
  <si>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</si>
  <si>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</si>
  <si>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</si>
  <si>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</si>
  <si>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</si>
  <si>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</si>
  <si>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</si>
  <si>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</si>
  <si>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</si>
  <si>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</si>
  <si>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</si>
  <si>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</si>
  <si>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</si>
  <si>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</si>
  <si>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</si>
  <si>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</si>
  <si>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</si>
  <si>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</si>
  <si>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</si>
  <si>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</si>
  <si>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</si>
  <si>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</si>
  <si>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</si>
  <si>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</si>
  <si>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</si>
  <si>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</si>
  <si>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</si>
  <si>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</si>
  <si>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</si>
  <si>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</si>
  <si>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</si>
  <si>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</si>
  <si>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</si>
  <si>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</si>
  <si>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</si>
  <si>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</si>
  <si>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</si>
  <si>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Souhegan Cooperative School District</t>
  </si>
  <si>
    <t>07/13</t>
  </si>
  <si>
    <t>08/20</t>
  </si>
  <si>
    <t>Audit Adj</t>
  </si>
  <si>
    <t>Agency Funds</t>
  </si>
  <si>
    <t xml:space="preserve">General Fund - Statement of Analysis of Change in Fund Equity </t>
  </si>
  <si>
    <t xml:space="preserve">On Page 19, Line 3 we have included an amount in the "Other Addition" line that represents two audit adjustments in the </t>
  </si>
  <si>
    <t xml:space="preserve"> The first  audit adjustment was in the amount of $7,233.96 that would have increased our prior  year</t>
  </si>
  <si>
    <t xml:space="preserve">revenues.  This amount represents a transfer to the General Fund from the Capital Project Fund.  The second amount </t>
  </si>
  <si>
    <t xml:space="preserve">total amount of $83,275.72.  The audit adjustments were provided to the District after the FY18 DOE-25 was completed. </t>
  </si>
  <si>
    <t>totals $76,041.26 which represents the difference between security expenses that were included as expenditures in FY18</t>
  </si>
  <si>
    <t xml:space="preserve">On Page 19, Line 6 we have included an amount in the "Other Deletion" line that represents an audit adjustment in the </t>
  </si>
  <si>
    <t xml:space="preserve">amount of $22,000.  The audit adjustment was provided to the District after the FY18 DOE-25 was completed. </t>
  </si>
  <si>
    <t xml:space="preserve"> The  audit adjustment would have decreased our FY18 fund balance as it represents and expense that the District </t>
  </si>
  <si>
    <t xml:space="preserve">had not accounted for.  This expense had not been accrued by the District as a payable prior to the DOE-25 being completed. </t>
  </si>
  <si>
    <t>and the amount that was actually spent in FY19.  In Fy18 the District had accrued these expenses and our</t>
  </si>
  <si>
    <t xml:space="preserve">Auditors reclassed the expenses as a Reserve for Encumbrance.  The variance is a result of what the District accrued in </t>
  </si>
  <si>
    <t xml:space="preserve">FY18 as payables and the amount that was actually spent in FY19.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</si>
</sst>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493</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499341.43</v>
      </c>
      <c r="G9" s="18">
        <v>794.65</v>
      </c>
      <c r="H9" s="18">
        <v>37937.47</v>
      </c>
      <c r="I9" s="18">
        <v>8084.13</v>
      </c>
      <c r="J9" s="67">
        <f>SUM(I439)</f>
        <v>174668.78</v>
      </c>
      <c r="K9" s="24" t="s">
        <v>288</v>
      </c>
      <c r="L9" s="24" t="s">
        <v>288</v>
      </c>
      <c r="M9" s="8"/>
      <c r="N9" s="266"/>
    </row>
    <row r="10" spans="1:14" s="3" customFormat="1" ht="12.2" customHeight="1" x14ac:dyDescent="0.15">
      <c r="A10" s="1" t="s">
        <v>562</v>
      </c>
      <c r="B10" s="2" t="s">
        <v>289</v>
      </c>
      <c r="C10" s="6">
        <v>2</v>
      </c>
      <c r="D10" s="2" t="s">
        <v>428</v>
      </c>
      <c r="E10" s="6">
        <v>110</v>
      </c>
      <c r="F10" s="18">
        <v>1074981.04</v>
      </c>
      <c r="G10" s="18">
        <v>0</v>
      </c>
      <c r="H10" s="18">
        <v>0</v>
      </c>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80721.649999999994</v>
      </c>
      <c r="G12" s="18">
        <v>0</v>
      </c>
      <c r="H12" s="18">
        <v>0</v>
      </c>
      <c r="I12" s="18"/>
      <c r="J12" s="67">
        <f>SUM(I441)</f>
        <v>1085.6199999999999</v>
      </c>
      <c r="K12" s="24" t="s">
        <v>288</v>
      </c>
      <c r="L12" s="24" t="s">
        <v>288</v>
      </c>
      <c r="M12" s="8"/>
      <c r="N12" s="266"/>
    </row>
    <row r="13" spans="1:14" s="3" customFormat="1" ht="12.2" customHeight="1" x14ac:dyDescent="0.15">
      <c r="A13" s="1" t="s">
        <v>604</v>
      </c>
      <c r="B13" s="2" t="s">
        <v>289</v>
      </c>
      <c r="C13" s="6">
        <v>5</v>
      </c>
      <c r="D13" s="2" t="s">
        <v>428</v>
      </c>
      <c r="E13" s="6">
        <v>140</v>
      </c>
      <c r="F13" s="18">
        <v>23045.99</v>
      </c>
      <c r="G13" s="18">
        <v>20395.95</v>
      </c>
      <c r="H13" s="18">
        <v>100842.69</v>
      </c>
      <c r="I13" s="18"/>
      <c r="J13" s="67">
        <f>SUM(I442)</f>
        <v>659419.1</v>
      </c>
      <c r="K13" s="24" t="s">
        <v>288</v>
      </c>
      <c r="L13" s="24" t="s">
        <v>288</v>
      </c>
      <c r="M13" s="8"/>
      <c r="N13" s="266"/>
    </row>
    <row r="14" spans="1:14" s="3" customFormat="1" ht="12.2" customHeight="1" x14ac:dyDescent="0.15">
      <c r="A14" s="1" t="s">
        <v>565</v>
      </c>
      <c r="B14" s="2" t="s">
        <v>289</v>
      </c>
      <c r="C14" s="6">
        <v>6</v>
      </c>
      <c r="D14" s="2" t="s">
        <v>428</v>
      </c>
      <c r="E14" s="6">
        <v>150</v>
      </c>
      <c r="F14" s="18">
        <v>293.45</v>
      </c>
      <c r="G14" s="18">
        <v>310.70999999999998</v>
      </c>
      <c r="H14" s="18">
        <v>0</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1678383.5599999998</v>
      </c>
      <c r="G19" s="41">
        <f>SUM(G9:G18)</f>
        <v>21501.31</v>
      </c>
      <c r="H19" s="41">
        <f>SUM(H9:H18)</f>
        <v>138780.16</v>
      </c>
      <c r="I19" s="41">
        <f>SUM(I9:I18)</f>
        <v>8084.13</v>
      </c>
      <c r="J19" s="41">
        <f>SUM(J9:J18)</f>
        <v>835173.5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5400.62</v>
      </c>
      <c r="H22" s="18">
        <v>69122.69</v>
      </c>
      <c r="I22" s="18">
        <v>7283.96</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4042.24</v>
      </c>
      <c r="G23" s="18">
        <v>0</v>
      </c>
      <c r="H23" s="18">
        <v>0</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218961.76</v>
      </c>
      <c r="G24" s="18">
        <v>28.5</v>
      </c>
      <c r="H24" s="18">
        <v>0</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v>0</v>
      </c>
      <c r="G25" s="145">
        <v>0</v>
      </c>
      <c r="H25" s="18">
        <v>0</v>
      </c>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102728.09</v>
      </c>
      <c r="G28" s="18">
        <v>0</v>
      </c>
      <c r="H28" s="18">
        <v>0</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66156.41</v>
      </c>
      <c r="G29" s="18">
        <v>0</v>
      </c>
      <c r="H29" s="18">
        <v>0</v>
      </c>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3192.97</v>
      </c>
      <c r="G30" s="18">
        <v>16072.19</v>
      </c>
      <c r="H30" s="18">
        <v>31720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c r="J31" s="67">
        <f>SUM(I451)</f>
        <v>174668.78</v>
      </c>
      <c r="K31" s="24" t="s">
        <v>288</v>
      </c>
      <c r="L31" s="24" t="s">
        <v>288</v>
      </c>
      <c r="M31" s="8"/>
      <c r="N31" s="266"/>
    </row>
    <row r="32" spans="1:14" s="3" customFormat="1" ht="12.2" customHeight="1" thickTop="1" x14ac:dyDescent="0.15">
      <c r="A32" s="38" t="s">
        <v>406</v>
      </c>
      <c r="B32" s="39" t="s">
        <v>289</v>
      </c>
      <c r="C32" s="40">
        <v>22</v>
      </c>
      <c r="D32" s="39" t="s">
        <v>429</v>
      </c>
      <c r="E32" s="39"/>
      <c r="F32" s="41">
        <f>SUM(F22:F31)</f>
        <v>395081.47</v>
      </c>
      <c r="G32" s="41">
        <f>SUM(G22:G31)</f>
        <v>21501.31</v>
      </c>
      <c r="H32" s="41">
        <f>SUM(H22:H31)</f>
        <v>100842.69</v>
      </c>
      <c r="I32" s="41">
        <f>SUM(I22:I31)</f>
        <v>7283.96</v>
      </c>
      <c r="J32" s="41">
        <f>SUM(J22:J31)</f>
        <v>174668.78</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0</v>
      </c>
      <c r="H48" s="18">
        <f>21414.72+16522.75</f>
        <v>37937.47</v>
      </c>
      <c r="I48" s="18">
        <f>756.67+43.5</f>
        <v>800.17</v>
      </c>
      <c r="J48" s="13">
        <f>SUM(I459)</f>
        <v>660504.72</v>
      </c>
      <c r="K48" s="24" t="s">
        <v>288</v>
      </c>
      <c r="L48" s="24" t="s">
        <v>288</v>
      </c>
      <c r="M48" s="8"/>
      <c r="N48" s="266"/>
    </row>
    <row r="49" spans="1:14" s="3" customFormat="1" ht="12.2" customHeight="1" x14ac:dyDescent="0.15">
      <c r="A49" s="1" t="s">
        <v>859</v>
      </c>
      <c r="B49" s="2" t="s">
        <v>289</v>
      </c>
      <c r="C49" s="6">
        <v>34</v>
      </c>
      <c r="D49" s="2"/>
      <c r="E49" s="6">
        <v>753</v>
      </c>
      <c r="F49" s="18">
        <v>32108.34</v>
      </c>
      <c r="G49" s="18">
        <v>0</v>
      </c>
      <c r="H49" s="18">
        <v>0</v>
      </c>
      <c r="I49" s="18"/>
      <c r="J49" s="13">
        <f>I454</f>
        <v>0</v>
      </c>
      <c r="K49" s="24"/>
      <c r="L49" s="24"/>
      <c r="M49" s="8"/>
      <c r="N49" s="266"/>
    </row>
    <row r="50" spans="1:14" s="3" customFormat="1" ht="12.2" customHeight="1" thickBot="1" x14ac:dyDescent="0.2">
      <c r="A50" s="29" t="s">
        <v>840</v>
      </c>
      <c r="B50" s="2" t="s">
        <v>289</v>
      </c>
      <c r="C50" s="71">
        <v>35</v>
      </c>
      <c r="D50" s="2" t="s">
        <v>653</v>
      </c>
      <c r="E50" s="6">
        <v>770</v>
      </c>
      <c r="F50" s="18">
        <f>596532.48+17234947.83-16624219.98+50783.42-6850</f>
        <v>1251193.7499999981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1283302.0899999982</v>
      </c>
      <c r="G51" s="41">
        <f>SUM(G35:G50)</f>
        <v>0</v>
      </c>
      <c r="H51" s="41">
        <f>SUM(H35:H50)</f>
        <v>37937.47</v>
      </c>
      <c r="I51" s="41">
        <f>SUM(I35:I50)</f>
        <v>800.17</v>
      </c>
      <c r="J51" s="41">
        <f>SUM(J35:J50)</f>
        <v>660504.72</v>
      </c>
      <c r="K51" s="45" t="s">
        <v>288</v>
      </c>
      <c r="L51" s="45" t="s">
        <v>288</v>
      </c>
      <c r="N51" s="264"/>
    </row>
    <row r="52" spans="1:14" s="3" customFormat="1" ht="12.2" customHeight="1" thickTop="1" x14ac:dyDescent="0.15">
      <c r="A52" s="38" t="s">
        <v>455</v>
      </c>
      <c r="B52" s="39" t="s">
        <v>289</v>
      </c>
      <c r="C52" s="6">
        <v>37</v>
      </c>
      <c r="D52" s="39" t="s">
        <v>653</v>
      </c>
      <c r="E52" s="39"/>
      <c r="F52" s="41">
        <f>F51+F32</f>
        <v>1678383.5599999982</v>
      </c>
      <c r="G52" s="41">
        <f>G51+G32</f>
        <v>21501.31</v>
      </c>
      <c r="H52" s="41">
        <f>H51+H32</f>
        <v>138780.16</v>
      </c>
      <c r="I52" s="41">
        <f>I51+I32</f>
        <v>8084.13</v>
      </c>
      <c r="J52" s="41">
        <f>J51+J32</f>
        <v>835173.5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13361835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13361835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34501.39</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3999</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39430.18</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77930.570000000007</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26525.25</v>
      </c>
      <c r="G96" s="18"/>
      <c r="H96" s="18"/>
      <c r="I96" s="18">
        <v>43.5</v>
      </c>
      <c r="J96" s="18">
        <v>67516.84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336354.91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123040.38</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625</v>
      </c>
      <c r="G101" s="18"/>
      <c r="H101" s="18">
        <v>16522.75</v>
      </c>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c r="H102" s="18">
        <v>18232.34</v>
      </c>
      <c r="I102" s="18">
        <v>0</v>
      </c>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v>0</v>
      </c>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987.42</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45566.95</v>
      </c>
      <c r="G109" s="18">
        <v>823.64</v>
      </c>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554.67999999999995</v>
      </c>
      <c r="G110" s="18">
        <v>910.29</v>
      </c>
      <c r="H110" s="18"/>
      <c r="I110" s="18"/>
      <c r="J110" s="18">
        <v>5092.3100000000004</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197299.68</v>
      </c>
      <c r="G111" s="41">
        <f>SUM(G96:G110)</f>
        <v>338088.83999999997</v>
      </c>
      <c r="H111" s="41">
        <f>SUM(H96:H110)</f>
        <v>34755.089999999997</v>
      </c>
      <c r="I111" s="41">
        <f>SUM(I96:I110)</f>
        <v>43.5</v>
      </c>
      <c r="J111" s="41">
        <f>SUM(J96:J110)</f>
        <v>72609.149999999994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13637065.25</v>
      </c>
      <c r="G112" s="41">
        <f>G60+G111</f>
        <v>338088.83999999997</v>
      </c>
      <c r="H112" s="41">
        <f>H60+H79+H94+H111</f>
        <v>34755.089999999997</v>
      </c>
      <c r="I112" s="41">
        <f>I60+I111</f>
        <v>43.5</v>
      </c>
      <c r="J112" s="41">
        <f>J60+J111</f>
        <v>72609.149999999994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1656068.88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1537621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0</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3193689.88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199084.52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2026.8</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757.12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160000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361111.31999999995</v>
      </c>
      <c r="G136" s="41">
        <f>SUM(G123:G135)</f>
        <v>757.12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3554801.1999999997</v>
      </c>
      <c r="G140" s="41">
        <f>G121+SUM(G136:G137)</f>
        <v>757.12</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29818.99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18577.349999999999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19493.599999999999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208979.83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43081.38</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0</v>
      </c>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43081.38</v>
      </c>
      <c r="G162" s="41">
        <f>SUM(G150:G161)</f>
        <v>19493.599999999999</v>
      </c>
      <c r="H162" s="41">
        <f>SUM(H150:H161)</f>
        <v>257376.16999999998</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43081.38</v>
      </c>
      <c r="G169" s="41">
        <f>G147+G162+SUM(G163:G168)</f>
        <v>19493.599999999999</v>
      </c>
      <c r="H169" s="41">
        <f>H147+H162+SUM(H163:H168)</f>
        <v>257376.16999999998</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v>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64043.48</v>
      </c>
      <c r="H179" s="18"/>
      <c r="I179" s="18"/>
      <c r="J179" s="18">
        <v>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64043.48</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64043.48</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17234947.829999998</v>
      </c>
      <c r="G193" s="47">
        <f>G112+G140+G169+G192</f>
        <v>422383.03999999992</v>
      </c>
      <c r="H193" s="47">
        <f>H112+H140+H169+H192</f>
        <v>292131.26</v>
      </c>
      <c r="I193" s="47">
        <f>I112+I140+I169+I192</f>
        <v>43.5</v>
      </c>
      <c r="J193" s="47">
        <f>J112+J140+J192</f>
        <v>72609.149999999994</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c r="I197" s="18"/>
      <c r="J197" s="18"/>
      <c r="K197" s="18"/>
      <c r="L197" s="19">
        <f>SUM(F197:K197)</f>
        <v>0</v>
      </c>
      <c r="M197" s="8"/>
      <c r="N197" s="266"/>
    </row>
    <row r="198" spans="1:14" s="3" customFormat="1" ht="12.2" customHeight="1" x14ac:dyDescent="0.15">
      <c r="A198" s="1" t="s">
        <v>439</v>
      </c>
      <c r="B198" s="2" t="s">
        <v>341</v>
      </c>
      <c r="C198" s="2" t="s">
        <v>291</v>
      </c>
      <c r="D198" s="2" t="s">
        <v>431</v>
      </c>
      <c r="E198" s="6">
        <v>1200</v>
      </c>
      <c r="F198" s="18"/>
      <c r="G198" s="18"/>
      <c r="H198" s="18"/>
      <c r="I198" s="18"/>
      <c r="J198" s="18"/>
      <c r="K198" s="18"/>
      <c r="L198" s="19">
        <f>SUM(F198:K198)</f>
        <v>0</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c r="I202" s="18"/>
      <c r="J202" s="18"/>
      <c r="K202" s="18"/>
      <c r="L202" s="19">
        <f t="shared" ref="L202:L208" si="0">SUM(F202:K202)</f>
        <v>0</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c r="G204" s="18"/>
      <c r="H204" s="18"/>
      <c r="I204" s="18"/>
      <c r="J204" s="18"/>
      <c r="K204" s="18"/>
      <c r="L204" s="19">
        <f t="shared" si="0"/>
        <v>0</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c r="I208" s="18"/>
      <c r="J208" s="18"/>
      <c r="K208" s="18"/>
      <c r="L208" s="19">
        <f t="shared" si="0"/>
        <v>0</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0</v>
      </c>
      <c r="G211" s="41">
        <f t="shared" si="1"/>
        <v>0</v>
      </c>
      <c r="H211" s="41">
        <f t="shared" si="1"/>
        <v>0</v>
      </c>
      <c r="I211" s="41">
        <f t="shared" si="1"/>
        <v>0</v>
      </c>
      <c r="J211" s="41">
        <f t="shared" si="1"/>
        <v>0</v>
      </c>
      <c r="K211" s="41">
        <f t="shared" si="1"/>
        <v>0</v>
      </c>
      <c r="L211" s="41">
        <f t="shared" si="1"/>
        <v>0</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4737123.6100000003</v>
      </c>
      <c r="G233" s="18">
        <v>2142314.0699999998</v>
      </c>
      <c r="H233" s="18">
        <v>8316.8700000000008</v>
      </c>
      <c r="I233" s="18">
        <v>119732.18</v>
      </c>
      <c r="J233" s="18">
        <v>148085.4</v>
      </c>
      <c r="K233" s="18">
        <v>1530.01</v>
      </c>
      <c r="L233" s="19">
        <f>SUM(F233:K233)</f>
        <v>7157102.1399999997</v>
      </c>
      <c r="M233" s="8"/>
      <c r="N233" s="266"/>
    </row>
    <row r="234" spans="1:14" s="3" customFormat="1" ht="12.2" customHeight="1" x14ac:dyDescent="0.15">
      <c r="A234" s="1" t="s">
        <v>439</v>
      </c>
      <c r="B234" s="2" t="s">
        <v>350</v>
      </c>
      <c r="C234" s="2" t="s">
        <v>291</v>
      </c>
      <c r="D234" s="2" t="s">
        <v>431</v>
      </c>
      <c r="E234" s="6">
        <v>1200</v>
      </c>
      <c r="F234" s="18">
        <v>1184798.57</v>
      </c>
      <c r="G234" s="18">
        <v>594259.1</v>
      </c>
      <c r="H234" s="18">
        <v>451517.41</v>
      </c>
      <c r="I234" s="18">
        <v>4758.3500000000004</v>
      </c>
      <c r="J234" s="18">
        <v>10426</v>
      </c>
      <c r="K234" s="18">
        <v>0</v>
      </c>
      <c r="L234" s="19">
        <f>SUM(F234:K234)</f>
        <v>2245759.4300000002</v>
      </c>
      <c r="M234" s="8"/>
      <c r="N234" s="266"/>
    </row>
    <row r="235" spans="1:14" s="3" customFormat="1" ht="12.2" customHeight="1" x14ac:dyDescent="0.15">
      <c r="A235" s="1" t="s">
        <v>440</v>
      </c>
      <c r="B235" s="2" t="s">
        <v>350</v>
      </c>
      <c r="C235" s="2" t="s">
        <v>292</v>
      </c>
      <c r="D235" s="2" t="s">
        <v>431</v>
      </c>
      <c r="E235" s="6">
        <v>1300</v>
      </c>
      <c r="F235" s="18"/>
      <c r="G235" s="18"/>
      <c r="H235" s="18">
        <v>18660.64</v>
      </c>
      <c r="I235" s="18"/>
      <c r="J235" s="18"/>
      <c r="K235" s="18"/>
      <c r="L235" s="19">
        <f>SUM(F235:K235)</f>
        <v>18660.64</v>
      </c>
      <c r="M235" s="8"/>
      <c r="N235" s="266"/>
    </row>
    <row r="236" spans="1:14" s="3" customFormat="1" ht="12.2" customHeight="1" x14ac:dyDescent="0.15">
      <c r="A236" s="1" t="s">
        <v>441</v>
      </c>
      <c r="B236" s="2" t="s">
        <v>350</v>
      </c>
      <c r="C236" s="2" t="s">
        <v>293</v>
      </c>
      <c r="D236" s="2" t="s">
        <v>431</v>
      </c>
      <c r="E236" s="6">
        <v>1400</v>
      </c>
      <c r="F236" s="18">
        <v>352543.01</v>
      </c>
      <c r="G236" s="18">
        <v>64279.26</v>
      </c>
      <c r="H236" s="18">
        <v>148171.66</v>
      </c>
      <c r="I236" s="18">
        <v>37914.75</v>
      </c>
      <c r="J236" s="18">
        <v>41615.15</v>
      </c>
      <c r="K236" s="18">
        <v>27055</v>
      </c>
      <c r="L236" s="19">
        <f>SUM(F236:K236)</f>
        <v>671578.83000000007</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934673.72</v>
      </c>
      <c r="G238" s="18">
        <v>418233.21</v>
      </c>
      <c r="H238" s="18">
        <f>308682.31+343.24</f>
        <v>309025.55</v>
      </c>
      <c r="I238" s="18">
        <v>10128.07</v>
      </c>
      <c r="J238" s="18">
        <v>0</v>
      </c>
      <c r="K238" s="18">
        <v>1145</v>
      </c>
      <c r="L238" s="19">
        <f t="shared" ref="L238:L244" si="4">SUM(F238:K238)</f>
        <v>1673205.55</v>
      </c>
      <c r="M238" s="8"/>
      <c r="N238" s="266"/>
    </row>
    <row r="239" spans="1:14" s="3" customFormat="1" ht="12.2" customHeight="1" x14ac:dyDescent="0.15">
      <c r="A239" s="1" t="s">
        <v>443</v>
      </c>
      <c r="B239" s="2" t="s">
        <v>350</v>
      </c>
      <c r="C239" s="2" t="s">
        <v>295</v>
      </c>
      <c r="D239" s="2" t="s">
        <v>431</v>
      </c>
      <c r="E239" s="6">
        <v>2200</v>
      </c>
      <c r="F239" s="18">
        <v>306325.78999999998</v>
      </c>
      <c r="G239" s="18">
        <v>208592.44</v>
      </c>
      <c r="H239" s="18">
        <v>2000</v>
      </c>
      <c r="I239" s="18">
        <v>58179.6</v>
      </c>
      <c r="J239" s="18">
        <v>1239.1400000000001</v>
      </c>
      <c r="K239" s="18">
        <v>322</v>
      </c>
      <c r="L239" s="19">
        <f t="shared" si="4"/>
        <v>576658.97</v>
      </c>
      <c r="M239" s="8"/>
      <c r="N239" s="266"/>
    </row>
    <row r="240" spans="1:14" s="3" customFormat="1" ht="12.2" customHeight="1" x14ac:dyDescent="0.15">
      <c r="A240" s="1" t="s">
        <v>444</v>
      </c>
      <c r="B240" s="2" t="s">
        <v>350</v>
      </c>
      <c r="C240" s="2" t="s">
        <v>296</v>
      </c>
      <c r="D240" s="2" t="s">
        <v>431</v>
      </c>
      <c r="E240" s="6">
        <v>2300</v>
      </c>
      <c r="F240" s="18">
        <v>11540.92</v>
      </c>
      <c r="G240" s="18">
        <v>889.26</v>
      </c>
      <c r="H240" s="18">
        <v>861109.35</v>
      </c>
      <c r="I240" s="18">
        <v>231.03</v>
      </c>
      <c r="J240" s="18">
        <v>0</v>
      </c>
      <c r="K240" s="18">
        <v>8506.5300000000007</v>
      </c>
      <c r="L240" s="19">
        <f t="shared" si="4"/>
        <v>882277.09000000008</v>
      </c>
      <c r="M240" s="8"/>
      <c r="N240" s="266"/>
    </row>
    <row r="241" spans="1:14" s="3" customFormat="1" ht="12.2" customHeight="1" x14ac:dyDescent="0.15">
      <c r="A241" s="1" t="s">
        <v>445</v>
      </c>
      <c r="B241" s="2" t="s">
        <v>350</v>
      </c>
      <c r="C241" s="2" t="s">
        <v>297</v>
      </c>
      <c r="D241" s="2" t="s">
        <v>431</v>
      </c>
      <c r="E241" s="6">
        <v>2400</v>
      </c>
      <c r="F241" s="18">
        <v>514889.52</v>
      </c>
      <c r="G241" s="18">
        <v>197483.75</v>
      </c>
      <c r="H241" s="18">
        <v>37805.160000000003</v>
      </c>
      <c r="I241" s="18">
        <v>21263.55</v>
      </c>
      <c r="J241" s="18">
        <v>26325</v>
      </c>
      <c r="K241" s="18">
        <v>26999.31</v>
      </c>
      <c r="L241" s="19">
        <f t="shared" si="4"/>
        <v>824766.29000000015</v>
      </c>
      <c r="M241" s="8"/>
      <c r="N241" s="266"/>
    </row>
    <row r="242" spans="1:14" s="3" customFormat="1" ht="12.2" customHeight="1" x14ac:dyDescent="0.15">
      <c r="A242" s="1" t="s">
        <v>446</v>
      </c>
      <c r="B242" s="2" t="s">
        <v>350</v>
      </c>
      <c r="C242" s="2" t="s">
        <v>298</v>
      </c>
      <c r="D242" s="2" t="s">
        <v>431</v>
      </c>
      <c r="E242" s="6">
        <v>2500</v>
      </c>
      <c r="F242" s="18">
        <v>0</v>
      </c>
      <c r="G242" s="18">
        <v>0</v>
      </c>
      <c r="H242" s="18">
        <v>2243.5500000000002</v>
      </c>
      <c r="I242" s="18">
        <v>0</v>
      </c>
      <c r="J242" s="18">
        <v>0</v>
      </c>
      <c r="K242" s="18">
        <v>0</v>
      </c>
      <c r="L242" s="19">
        <f t="shared" si="4"/>
        <v>2243.5500000000002</v>
      </c>
      <c r="M242" s="8"/>
      <c r="N242" s="266"/>
    </row>
    <row r="243" spans="1:14" s="3" customFormat="1" ht="12.2" customHeight="1" x14ac:dyDescent="0.15">
      <c r="A243" s="1" t="s">
        <v>447</v>
      </c>
      <c r="B243" s="2" t="s">
        <v>350</v>
      </c>
      <c r="C243" s="2" t="s">
        <v>299</v>
      </c>
      <c r="D243" s="2" t="s">
        <v>431</v>
      </c>
      <c r="E243" s="6">
        <v>2600</v>
      </c>
      <c r="F243" s="18">
        <v>348711.26</v>
      </c>
      <c r="G243" s="18">
        <v>182299.29</v>
      </c>
      <c r="H243" s="18">
        <v>274998.13</v>
      </c>
      <c r="I243" s="18">
        <v>407407.42</v>
      </c>
      <c r="J243" s="18">
        <v>41463.699999999997</v>
      </c>
      <c r="K243" s="18">
        <v>241.25</v>
      </c>
      <c r="L243" s="19">
        <f t="shared" si="4"/>
        <v>1255121.05</v>
      </c>
      <c r="M243" s="8"/>
      <c r="N243" s="266"/>
    </row>
    <row r="244" spans="1:14" s="3" customFormat="1" ht="12.2" customHeight="1" x14ac:dyDescent="0.15">
      <c r="A244" s="1" t="s">
        <v>448</v>
      </c>
      <c r="B244" s="2" t="s">
        <v>350</v>
      </c>
      <c r="C244" s="2" t="s">
        <v>300</v>
      </c>
      <c r="D244" s="2" t="s">
        <v>431</v>
      </c>
      <c r="E244" s="6">
        <v>2700</v>
      </c>
      <c r="F244" s="18">
        <v>0</v>
      </c>
      <c r="G244" s="18">
        <v>0</v>
      </c>
      <c r="H244" s="18">
        <v>577766.99</v>
      </c>
      <c r="I244" s="18">
        <v>90.02</v>
      </c>
      <c r="J244" s="18">
        <v>0</v>
      </c>
      <c r="K244" s="18">
        <v>0</v>
      </c>
      <c r="L244" s="19">
        <f t="shared" si="4"/>
        <v>577857.01</v>
      </c>
      <c r="M244" s="8"/>
      <c r="N244" s="266"/>
    </row>
    <row r="245" spans="1:14" s="3" customFormat="1" ht="12.2" customHeight="1" x14ac:dyDescent="0.15">
      <c r="A245" s="1" t="s">
        <v>449</v>
      </c>
      <c r="B245" s="2" t="s">
        <v>350</v>
      </c>
      <c r="C245" s="2" t="s">
        <v>343</v>
      </c>
      <c r="D245" s="2" t="s">
        <v>431</v>
      </c>
      <c r="E245" s="6">
        <v>2800</v>
      </c>
      <c r="F245" s="18">
        <v>206185.79</v>
      </c>
      <c r="G245" s="18">
        <v>92903.43</v>
      </c>
      <c r="H245" s="18">
        <v>20897.04</v>
      </c>
      <c r="I245" s="18">
        <v>55458.35</v>
      </c>
      <c r="J245" s="18">
        <v>43963.839999999997</v>
      </c>
      <c r="K245" s="18">
        <v>0</v>
      </c>
      <c r="L245" s="19">
        <f>SUM(F245:K245)</f>
        <v>419408.44999999995</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8596792.1899999995</v>
      </c>
      <c r="G247" s="41">
        <f t="shared" si="5"/>
        <v>3901253.8099999996</v>
      </c>
      <c r="H247" s="41">
        <f t="shared" si="5"/>
        <v>2712512.3499999996</v>
      </c>
      <c r="I247" s="41">
        <f t="shared" si="5"/>
        <v>715163.32</v>
      </c>
      <c r="J247" s="41">
        <f t="shared" si="5"/>
        <v>313118.23</v>
      </c>
      <c r="K247" s="41">
        <f t="shared" si="5"/>
        <v>65799.100000000006</v>
      </c>
      <c r="L247" s="41">
        <f t="shared" si="5"/>
        <v>16304639.000000004</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v>0</v>
      </c>
      <c r="G251" s="18">
        <v>0</v>
      </c>
      <c r="H251" s="18">
        <v>0</v>
      </c>
      <c r="I251" s="18">
        <v>0</v>
      </c>
      <c r="J251" s="18">
        <v>0</v>
      </c>
      <c r="K251" s="18">
        <v>0</v>
      </c>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80000</v>
      </c>
      <c r="I255" s="18"/>
      <c r="J255" s="18">
        <v>0</v>
      </c>
      <c r="K255" s="18"/>
      <c r="L255" s="19">
        <f t="shared" si="6"/>
        <v>80000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80000</v>
      </c>
      <c r="I256" s="41">
        <f t="shared" si="7"/>
        <v>0</v>
      </c>
      <c r="J256" s="41">
        <f t="shared" si="7"/>
        <v>0</v>
      </c>
      <c r="K256" s="41">
        <f t="shared" si="7"/>
        <v>0</v>
      </c>
      <c r="L256" s="41">
        <f>SUM(F256:K256)</f>
        <v>80000</v>
      </c>
      <c r="M256" s="8"/>
      <c r="N256" s="266"/>
    </row>
    <row r="257" spans="1:14" s="3" customFormat="1" ht="12.2" customHeight="1" thickTop="1" x14ac:dyDescent="0.15">
      <c r="A257" s="38" t="s">
        <v>462</v>
      </c>
      <c r="B257" s="40">
        <v>10</v>
      </c>
      <c r="C257" s="40">
        <v>8</v>
      </c>
      <c r="D257" s="39" t="s">
        <v>431</v>
      </c>
      <c r="E257" s="40"/>
      <c r="F257" s="41">
        <f t="shared" ref="F257:L257" si="8">F211+F229+F247+F256</f>
        <v>8596792.1899999995</v>
      </c>
      <c r="G257" s="41">
        <f t="shared" si="8"/>
        <v>3901253.8099999996</v>
      </c>
      <c r="H257" s="41">
        <f t="shared" si="8"/>
        <v>2792512.3499999996</v>
      </c>
      <c r="I257" s="41">
        <f t="shared" si="8"/>
        <v>715163.32</v>
      </c>
      <c r="J257" s="41">
        <f t="shared" si="8"/>
        <v>313118.23</v>
      </c>
      <c r="K257" s="41">
        <f t="shared" si="8"/>
        <v>65799.100000000006</v>
      </c>
      <c r="L257" s="41">
        <f t="shared" si="8"/>
        <v>16384639.000000004</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155000</v>
      </c>
      <c r="L260" s="19">
        <f>SUM(F260:K260)</f>
        <v>155000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20537.5</v>
      </c>
      <c r="L261" s="19">
        <f>SUM(F261:K261)</f>
        <v>20537.5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64043.48</v>
      </c>
      <c r="L263" s="19">
        <f>SUM(F263:K263)</f>
        <v>64043.48</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0</v>
      </c>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239580.98</v>
      </c>
      <c r="L270" s="41">
        <f t="shared" si="9"/>
        <v>239580.98</v>
      </c>
      <c r="N270" s="264"/>
    </row>
    <row r="271" spans="1:14" s="3" customFormat="1" ht="12.2" customHeight="1" thickTop="1" x14ac:dyDescent="0.2">
      <c r="A271" s="43" t="s">
        <v>464</v>
      </c>
      <c r="B271" s="40">
        <v>10</v>
      </c>
      <c r="C271" s="40">
        <v>18</v>
      </c>
      <c r="D271" s="39" t="s">
        <v>431</v>
      </c>
      <c r="E271" s="40"/>
      <c r="F271" s="42">
        <f t="shared" ref="F271:L271" si="11">F257+F270</f>
        <v>8596792.1899999995</v>
      </c>
      <c r="G271" s="42">
        <f t="shared" si="11"/>
        <v>3901253.8099999996</v>
      </c>
      <c r="H271" s="42">
        <f t="shared" si="11"/>
        <v>2792512.3499999996</v>
      </c>
      <c r="I271" s="42">
        <f t="shared" si="11"/>
        <v>715163.32</v>
      </c>
      <c r="J271" s="42">
        <f t="shared" si="11"/>
        <v>313118.23</v>
      </c>
      <c r="K271" s="42">
        <f t="shared" si="11"/>
        <v>305380.08</v>
      </c>
      <c r="L271" s="42">
        <f t="shared" si="11"/>
        <v>16624219.980000004</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1015</v>
      </c>
      <c r="G314" s="18">
        <v>253.84</v>
      </c>
      <c r="H314" s="18">
        <v>0</v>
      </c>
      <c r="I314" s="18">
        <v>689.63</v>
      </c>
      <c r="J314" s="18">
        <v>0</v>
      </c>
      <c r="K314" s="18">
        <v>0</v>
      </c>
      <c r="L314" s="19">
        <f>SUM(F314:K314)</f>
        <v>1958.4699999999998</v>
      </c>
      <c r="M314" s="8"/>
      <c r="N314" s="266"/>
    </row>
    <row r="315" spans="1:14" s="3" customFormat="1" ht="12.2" customHeight="1" x14ac:dyDescent="0.15">
      <c r="A315" s="1" t="s">
        <v>439</v>
      </c>
      <c r="B315" s="2" t="s">
        <v>359</v>
      </c>
      <c r="C315" s="2" t="s">
        <v>291</v>
      </c>
      <c r="D315" s="2" t="s">
        <v>431</v>
      </c>
      <c r="E315" s="6">
        <v>1200</v>
      </c>
      <c r="F315" s="18">
        <v>172237.66</v>
      </c>
      <c r="G315" s="18">
        <v>36742.17</v>
      </c>
      <c r="H315" s="18">
        <v>0</v>
      </c>
      <c r="I315" s="18">
        <v>0</v>
      </c>
      <c r="J315" s="18">
        <v>0</v>
      </c>
      <c r="K315" s="18">
        <v>0</v>
      </c>
      <c r="L315" s="19">
        <f>SUM(F315:K315)</f>
        <v>208979.83000000002</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v>19037.5</v>
      </c>
      <c r="G317" s="18">
        <v>4002.43</v>
      </c>
      <c r="H317" s="18">
        <v>0</v>
      </c>
      <c r="I317" s="18">
        <v>1591.14</v>
      </c>
      <c r="J317" s="18">
        <v>0</v>
      </c>
      <c r="K317" s="18">
        <v>0</v>
      </c>
      <c r="L317" s="19">
        <f>SUM(F317:K317)</f>
        <v>24631.07</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2500</v>
      </c>
      <c r="G319" s="18">
        <v>563.25</v>
      </c>
      <c r="H319" s="18">
        <v>0</v>
      </c>
      <c r="I319" s="18">
        <v>196.72</v>
      </c>
      <c r="J319" s="18">
        <v>0</v>
      </c>
      <c r="K319" s="18">
        <v>0</v>
      </c>
      <c r="L319" s="19">
        <f t="shared" ref="L319:L325" si="16">SUM(F319:K319)</f>
        <v>3259.97</v>
      </c>
      <c r="M319" s="8"/>
      <c r="N319" s="266"/>
    </row>
    <row r="320" spans="1:14" s="3" customFormat="1" ht="12.2" customHeight="1" x14ac:dyDescent="0.15">
      <c r="A320" s="1" t="s">
        <v>443</v>
      </c>
      <c r="B320" s="2" t="s">
        <v>359</v>
      </c>
      <c r="C320" s="2" t="s">
        <v>295</v>
      </c>
      <c r="D320" s="2" t="s">
        <v>431</v>
      </c>
      <c r="E320" s="6">
        <v>2200</v>
      </c>
      <c r="F320" s="18">
        <v>17136.57</v>
      </c>
      <c r="G320" s="18">
        <v>5822.51</v>
      </c>
      <c r="H320" s="18">
        <v>6050</v>
      </c>
      <c r="I320" s="18">
        <v>0</v>
      </c>
      <c r="J320" s="18">
        <v>0</v>
      </c>
      <c r="K320" s="18">
        <v>0</v>
      </c>
      <c r="L320" s="19">
        <f t="shared" si="16"/>
        <v>29009.08</v>
      </c>
      <c r="M320" s="8"/>
      <c r="N320" s="266"/>
    </row>
    <row r="321" spans="1:14" s="3" customFormat="1" ht="12.2" customHeight="1" x14ac:dyDescent="0.15">
      <c r="A321" s="1" t="s">
        <v>444</v>
      </c>
      <c r="B321" s="2" t="s">
        <v>359</v>
      </c>
      <c r="C321" s="2" t="s">
        <v>296</v>
      </c>
      <c r="D321" s="2" t="s">
        <v>431</v>
      </c>
      <c r="E321" s="6">
        <v>2300</v>
      </c>
      <c r="F321" s="18">
        <v>0</v>
      </c>
      <c r="G321" s="18">
        <v>0</v>
      </c>
      <c r="H321" s="18">
        <v>0</v>
      </c>
      <c r="I321" s="18">
        <v>0</v>
      </c>
      <c r="J321" s="18">
        <v>0</v>
      </c>
      <c r="K321" s="18">
        <v>0</v>
      </c>
      <c r="L321" s="19">
        <f t="shared" si="16"/>
        <v>0</v>
      </c>
      <c r="M321" s="8"/>
      <c r="N321" s="266"/>
    </row>
    <row r="322" spans="1:14" s="3" customFormat="1" ht="12.2" customHeight="1" x14ac:dyDescent="0.15">
      <c r="A322" s="1" t="s">
        <v>445</v>
      </c>
      <c r="B322" s="2" t="s">
        <v>359</v>
      </c>
      <c r="C322" s="2" t="s">
        <v>297</v>
      </c>
      <c r="D322" s="2" t="s">
        <v>431</v>
      </c>
      <c r="E322" s="6">
        <v>2400</v>
      </c>
      <c r="F322" s="18">
        <v>0</v>
      </c>
      <c r="G322" s="18">
        <v>0</v>
      </c>
      <c r="H322" s="18">
        <v>0</v>
      </c>
      <c r="I322" s="18">
        <v>0</v>
      </c>
      <c r="J322" s="18">
        <v>0</v>
      </c>
      <c r="K322" s="18">
        <v>0</v>
      </c>
      <c r="L322" s="19">
        <f t="shared" si="16"/>
        <v>0</v>
      </c>
      <c r="M322" s="8"/>
      <c r="N322" s="266"/>
    </row>
    <row r="323" spans="1:14" s="3" customFormat="1" ht="12.2" customHeight="1" x14ac:dyDescent="0.15">
      <c r="A323" s="1" t="s">
        <v>446</v>
      </c>
      <c r="B323" s="2" t="s">
        <v>359</v>
      </c>
      <c r="C323" s="2" t="s">
        <v>298</v>
      </c>
      <c r="D323" s="2" t="s">
        <v>431</v>
      </c>
      <c r="E323" s="6">
        <v>2500</v>
      </c>
      <c r="F323" s="18">
        <v>0</v>
      </c>
      <c r="G323" s="18">
        <v>0</v>
      </c>
      <c r="H323" s="18">
        <v>0</v>
      </c>
      <c r="I323" s="18">
        <v>0</v>
      </c>
      <c r="J323" s="18">
        <v>0</v>
      </c>
      <c r="K323" s="18">
        <v>0</v>
      </c>
      <c r="L323" s="19">
        <f t="shared" si="16"/>
        <v>0</v>
      </c>
      <c r="M323" s="8"/>
      <c r="N323" s="266"/>
    </row>
    <row r="324" spans="1:14" s="3" customFormat="1" ht="12.2" customHeight="1" x14ac:dyDescent="0.15">
      <c r="A324" s="1" t="s">
        <v>447</v>
      </c>
      <c r="B324" s="2" t="s">
        <v>359</v>
      </c>
      <c r="C324" s="2" t="s">
        <v>299</v>
      </c>
      <c r="D324" s="2" t="s">
        <v>431</v>
      </c>
      <c r="E324" s="6">
        <v>2600</v>
      </c>
      <c r="F324" s="18">
        <v>0</v>
      </c>
      <c r="G324" s="18">
        <v>0</v>
      </c>
      <c r="H324" s="18">
        <v>0</v>
      </c>
      <c r="I324" s="18">
        <v>0</v>
      </c>
      <c r="J324" s="18">
        <v>0</v>
      </c>
      <c r="K324" s="18">
        <v>0</v>
      </c>
      <c r="L324" s="19">
        <f t="shared" si="16"/>
        <v>0</v>
      </c>
      <c r="M324" s="8"/>
      <c r="N324" s="266"/>
    </row>
    <row r="325" spans="1:14" s="3" customFormat="1" ht="12.2" customHeight="1" x14ac:dyDescent="0.15">
      <c r="A325" s="1" t="s">
        <v>448</v>
      </c>
      <c r="B325" s="2" t="s">
        <v>359</v>
      </c>
      <c r="C325" s="2" t="s">
        <v>300</v>
      </c>
      <c r="D325" s="2" t="s">
        <v>431</v>
      </c>
      <c r="E325" s="6">
        <v>2700</v>
      </c>
      <c r="F325" s="18">
        <v>0</v>
      </c>
      <c r="G325" s="18">
        <v>0</v>
      </c>
      <c r="H325" s="18">
        <v>0</v>
      </c>
      <c r="I325" s="18">
        <v>0</v>
      </c>
      <c r="J325" s="18">
        <v>0</v>
      </c>
      <c r="K325" s="18">
        <v>0</v>
      </c>
      <c r="L325" s="19">
        <f t="shared" si="16"/>
        <v>0</v>
      </c>
      <c r="M325" s="8"/>
      <c r="N325" s="266"/>
    </row>
    <row r="326" spans="1:14" s="3" customFormat="1" ht="12.2" customHeight="1" x14ac:dyDescent="0.15">
      <c r="A326" s="1" t="s">
        <v>449</v>
      </c>
      <c r="B326" s="2" t="s">
        <v>359</v>
      </c>
      <c r="C326" s="2" t="s">
        <v>343</v>
      </c>
      <c r="D326" s="2" t="s">
        <v>431</v>
      </c>
      <c r="E326" s="6">
        <v>2800</v>
      </c>
      <c r="F326" s="18">
        <v>5962.5</v>
      </c>
      <c r="G326" s="18">
        <v>1393.61</v>
      </c>
      <c r="H326" s="18">
        <v>413.98</v>
      </c>
      <c r="I326" s="18">
        <v>0</v>
      </c>
      <c r="J326" s="18">
        <v>0</v>
      </c>
      <c r="K326" s="18">
        <v>0</v>
      </c>
      <c r="L326" s="19">
        <f>SUM(F326:K326)</f>
        <v>7770.09</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217889.23</v>
      </c>
      <c r="G328" s="42">
        <f t="shared" si="17"/>
        <v>48777.81</v>
      </c>
      <c r="H328" s="42">
        <f t="shared" si="17"/>
        <v>6463.98</v>
      </c>
      <c r="I328" s="42">
        <f t="shared" si="17"/>
        <v>2477.4899999999998</v>
      </c>
      <c r="J328" s="42">
        <f t="shared" si="17"/>
        <v>0</v>
      </c>
      <c r="K328" s="42">
        <f t="shared" si="17"/>
        <v>0</v>
      </c>
      <c r="L328" s="41">
        <f t="shared" si="17"/>
        <v>275608.51000000007</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217889.23</v>
      </c>
      <c r="G338" s="41">
        <f t="shared" si="20"/>
        <v>48777.81</v>
      </c>
      <c r="H338" s="41">
        <f t="shared" si="20"/>
        <v>6463.98</v>
      </c>
      <c r="I338" s="41">
        <f t="shared" si="20"/>
        <v>2477.4899999999998</v>
      </c>
      <c r="J338" s="41">
        <f t="shared" si="20"/>
        <v>0</v>
      </c>
      <c r="K338" s="41">
        <f t="shared" si="20"/>
        <v>0</v>
      </c>
      <c r="L338" s="41">
        <f t="shared" si="20"/>
        <v>275608.51000000007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217889.23</v>
      </c>
      <c r="G352" s="41">
        <f>G338</f>
        <v>48777.81</v>
      </c>
      <c r="H352" s="41">
        <f>H338</f>
        <v>6463.98</v>
      </c>
      <c r="I352" s="41">
        <f>I338</f>
        <v>2477.4899999999998</v>
      </c>
      <c r="J352" s="41">
        <f>J338</f>
        <v>0</v>
      </c>
      <c r="K352" s="47">
        <f>K338+K351</f>
        <v>0</v>
      </c>
      <c r="L352" s="41">
        <f>L338+L351</f>
        <v>275608.51000000007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v>169761.83</v>
      </c>
      <c r="G360" s="18">
        <v>84070.92</v>
      </c>
      <c r="H360" s="18">
        <v>39466.769999999997</v>
      </c>
      <c r="I360" s="18">
        <v>128938.25</v>
      </c>
      <c r="J360" s="18">
        <v>0</v>
      </c>
      <c r="K360" s="18">
        <v>145.27000000000001</v>
      </c>
      <c r="L360" s="19">
        <f>SUM(F360:K360)</f>
        <v>422383.04000000004</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169761.83</v>
      </c>
      <c r="G362" s="47">
        <f t="shared" si="22"/>
        <v>84070.92</v>
      </c>
      <c r="H362" s="47">
        <f t="shared" si="22"/>
        <v>39466.769999999997</v>
      </c>
      <c r="I362" s="47">
        <f t="shared" si="22"/>
        <v>128938.25</v>
      </c>
      <c r="J362" s="47">
        <f t="shared" si="22"/>
        <v>0</v>
      </c>
      <c r="K362" s="47">
        <f t="shared" si="22"/>
        <v>145.27000000000001</v>
      </c>
      <c r="L362" s="47">
        <f t="shared" si="22"/>
        <v>422383.04000000004</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v>120438.08</v>
      </c>
      <c r="I367" s="56">
        <f>SUM(F367:H367)</f>
        <v>120438.08</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v>8500.17</v>
      </c>
      <c r="I368" s="56">
        <f>SUM(F368:H368)</f>
        <v>8500.17</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128938.25</v>
      </c>
      <c r="I369" s="47">
        <f>SUM(I367:I368)</f>
        <v>128938.25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f>895.76+1179.58+1340.89+1357.61+54.25</f>
        <v>4828.09</v>
      </c>
      <c r="I396" s="18"/>
      <c r="J396" s="24" t="s">
        <v>288</v>
      </c>
      <c r="K396" s="24" t="s">
        <v>288</v>
      </c>
      <c r="L396" s="56">
        <f t="shared" si="26"/>
        <v>4828.09</v>
      </c>
      <c r="M396" s="8"/>
      <c r="N396" s="266"/>
    </row>
    <row r="397" spans="1:14" s="3" customFormat="1" ht="12.2" customHeight="1" x14ac:dyDescent="0.15">
      <c r="A397" s="79" t="s">
        <v>515</v>
      </c>
      <c r="B397" s="2" t="s">
        <v>381</v>
      </c>
      <c r="C397" s="6">
        <v>10</v>
      </c>
      <c r="D397" s="2" t="s">
        <v>432</v>
      </c>
      <c r="E397" s="6"/>
      <c r="F397" s="18"/>
      <c r="G397" s="18"/>
      <c r="H397" s="18">
        <f>1787.52+1601.65+1889.95+1799.21+54569.77</f>
        <v>61648.1</v>
      </c>
      <c r="I397" s="18"/>
      <c r="J397" s="24" t="s">
        <v>288</v>
      </c>
      <c r="K397" s="24" t="s">
        <v>288</v>
      </c>
      <c r="L397" s="56">
        <f t="shared" si="26"/>
        <v>61648.1</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f>193.08+254.24+289.01+304.32</f>
        <v>1040.6500000000001</v>
      </c>
      <c r="I400" s="18"/>
      <c r="J400" s="24" t="s">
        <v>288</v>
      </c>
      <c r="K400" s="24" t="s">
        <v>288</v>
      </c>
      <c r="L400" s="56">
        <f t="shared" si="26"/>
        <v>1040.6500000000001</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67516.84</v>
      </c>
      <c r="I401" s="47">
        <f>SUM(I395:I400)</f>
        <v>0</v>
      </c>
      <c r="J401" s="45" t="s">
        <v>288</v>
      </c>
      <c r="K401" s="45" t="s">
        <v>288</v>
      </c>
      <c r="L401" s="47">
        <f>SUM(L395:L400)</f>
        <v>67516.84</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t="s">
        <v>1613</v>
      </c>
      <c r="B403" s="2" t="s">
        <v>381</v>
      </c>
      <c r="C403" s="6">
        <v>15</v>
      </c>
      <c r="D403" s="2" t="s">
        <v>432</v>
      </c>
      <c r="E403" s="6"/>
      <c r="F403" s="18"/>
      <c r="G403" s="18"/>
      <c r="H403" s="18"/>
      <c r="I403" s="18">
        <f>38.25+4500.36+553.7</f>
        <v>5092.3099999999995</v>
      </c>
      <c r="J403" s="24" t="s">
        <v>288</v>
      </c>
      <c r="K403" s="24" t="s">
        <v>288</v>
      </c>
      <c r="L403" s="56">
        <f>SUM(F403:K403)</f>
        <v>5092.3099999999995</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5092.3099999999995</v>
      </c>
      <c r="J407" s="49" t="s">
        <v>288</v>
      </c>
      <c r="K407" s="49" t="s">
        <v>288</v>
      </c>
      <c r="L407" s="47">
        <f>SUM(L403:L406)</f>
        <v>5092.3099999999995</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67516.84</v>
      </c>
      <c r="I408" s="47">
        <f>I393+I401+I407</f>
        <v>5092.3099999999995</v>
      </c>
      <c r="J408" s="24" t="s">
        <v>288</v>
      </c>
      <c r="K408" s="24" t="s">
        <v>288</v>
      </c>
      <c r="L408" s="47">
        <f>L393+L401+L407</f>
        <v>72609.149999999994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t="s">
        <v>1613</v>
      </c>
      <c r="B429" s="6">
        <v>17</v>
      </c>
      <c r="C429" s="6">
        <v>15</v>
      </c>
      <c r="D429" s="2" t="s">
        <v>432</v>
      </c>
      <c r="E429" s="6"/>
      <c r="F429" s="18">
        <v>4100</v>
      </c>
      <c r="G429" s="18">
        <f>7.13+50.22+86.8+624.96+223.2</f>
        <v>992.31</v>
      </c>
      <c r="H429" s="18"/>
      <c r="I429" s="18"/>
      <c r="J429" s="18"/>
      <c r="K429" s="18"/>
      <c r="L429" s="56">
        <f>SUM(F429:K429)</f>
        <v>5092.3099999999995</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4100</v>
      </c>
      <c r="G433" s="47">
        <f t="shared" si="31"/>
        <v>992.31</v>
      </c>
      <c r="H433" s="47">
        <f t="shared" si="31"/>
        <v>0</v>
      </c>
      <c r="I433" s="47">
        <f t="shared" si="31"/>
        <v>0</v>
      </c>
      <c r="J433" s="47">
        <f t="shared" si="31"/>
        <v>0</v>
      </c>
      <c r="K433" s="47">
        <f t="shared" si="31"/>
        <v>0</v>
      </c>
      <c r="L433" s="47">
        <f t="shared" si="31"/>
        <v>5092.3099999999995</v>
      </c>
      <c r="M433" s="8"/>
      <c r="N433" s="266"/>
    </row>
    <row r="434" spans="1:14" s="3" customFormat="1" ht="12.2" customHeight="1" thickTop="1" x14ac:dyDescent="0.15">
      <c r="A434" s="78" t="s">
        <v>422</v>
      </c>
      <c r="B434" s="6">
        <v>17</v>
      </c>
      <c r="C434" s="6">
        <v>20</v>
      </c>
      <c r="D434" s="2" t="s">
        <v>432</v>
      </c>
      <c r="E434" s="40"/>
      <c r="F434" s="47">
        <f t="shared" ref="F434:L434" si="32">F419+F427+F433</f>
        <v>4100</v>
      </c>
      <c r="G434" s="47">
        <f t="shared" si="32"/>
        <v>992.31</v>
      </c>
      <c r="H434" s="47">
        <f t="shared" si="32"/>
        <v>0</v>
      </c>
      <c r="I434" s="47">
        <f t="shared" si="32"/>
        <v>0</v>
      </c>
      <c r="J434" s="47">
        <f t="shared" si="32"/>
        <v>0</v>
      </c>
      <c r="K434" s="47">
        <f t="shared" si="32"/>
        <v>0</v>
      </c>
      <c r="L434" s="47">
        <f t="shared" si="32"/>
        <v>5092.3099999999995</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f>169333.59+5335.19</f>
        <v>174668.78</v>
      </c>
      <c r="I439" s="56">
        <f t="shared" ref="I439:I445" si="33">SUM(F439:H439)</f>
        <v>174668.78</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v>1085.6199999999999</v>
      </c>
      <c r="I441" s="56">
        <f t="shared" si="33"/>
        <v>1085.6199999999999</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v>659365.4</v>
      </c>
      <c r="H442" s="18">
        <v>53.7</v>
      </c>
      <c r="I442" s="56">
        <f t="shared" si="33"/>
        <v>659419.1</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659365.4</v>
      </c>
      <c r="H446" s="13">
        <f>SUM(H439:H445)</f>
        <v>175808.1</v>
      </c>
      <c r="I446" s="13">
        <f>SUM(I439:I445)</f>
        <v>835173.5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f>169333.59+5335.19</f>
        <v>174668.78</v>
      </c>
      <c r="I451" s="56">
        <f>SUM(F451:H451)</f>
        <v>174668.78</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174668.78</v>
      </c>
      <c r="I452" s="72">
        <f>SUM(I448:I451)</f>
        <v>174668.78</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f>591848.56+67516.84</f>
        <v>659365.4</v>
      </c>
      <c r="H459" s="18">
        <v>1139.32</v>
      </c>
      <c r="I459" s="56">
        <f t="shared" si="34"/>
        <v>660504.72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659365.4</v>
      </c>
      <c r="H460" s="83">
        <f>SUM(H454:H459)</f>
        <v>1139.32</v>
      </c>
      <c r="I460" s="83">
        <f>SUM(I454:I459)</f>
        <v>660504.72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659365.4</v>
      </c>
      <c r="H461" s="42">
        <f>H452+H460</f>
        <v>175808.1</v>
      </c>
      <c r="I461" s="42">
        <f>I452+I460</f>
        <v>835173.5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611298.52</v>
      </c>
      <c r="G465" s="18">
        <v>0</v>
      </c>
      <c r="H465" s="18">
        <v>21414.72000000003</v>
      </c>
      <c r="I465" s="18">
        <v>7990.6299999999974</v>
      </c>
      <c r="J465" s="18">
        <v>599786.88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17234947.829999998</v>
      </c>
      <c r="G468" s="18">
        <f t="shared" ref="G468:J468" si="35">G193</f>
        <v>422383.03999999992</v>
      </c>
      <c r="H468" s="18">
        <f>H193</f>
        <v>292131.26</v>
      </c>
      <c r="I468" s="18">
        <f t="shared" si="35"/>
        <v>43.5</v>
      </c>
      <c r="J468" s="18">
        <f t="shared" si="35"/>
        <v>72609.149999999994</v>
      </c>
      <c r="K468" s="24" t="s">
        <v>288</v>
      </c>
      <c r="L468" s="24" t="s">
        <v>288</v>
      </c>
      <c r="N468" s="265"/>
    </row>
    <row r="469" spans="1:14" s="52" customFormat="1" ht="12.2" customHeight="1" x14ac:dyDescent="0.2">
      <c r="A469" s="93" t="s">
        <v>611</v>
      </c>
      <c r="B469" s="75">
        <v>19</v>
      </c>
      <c r="C469" s="80">
        <v>3</v>
      </c>
      <c r="D469" s="2" t="s">
        <v>432</v>
      </c>
      <c r="E469" s="80"/>
      <c r="F469" s="18">
        <f>7233.96+76041.76</f>
        <v>83275.72</v>
      </c>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17318223.549999997</v>
      </c>
      <c r="G470" s="53">
        <f>SUM(G468:G469)</f>
        <v>422383.03999999992</v>
      </c>
      <c r="H470" s="53">
        <f>SUM(H468:H469)</f>
        <v>292131.26</v>
      </c>
      <c r="I470" s="53">
        <f>SUM(I468:I469)</f>
        <v>43.5</v>
      </c>
      <c r="J470" s="53">
        <f>SUM(J468:J469)</f>
        <v>72609.149999999994</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16624219.980000004</v>
      </c>
      <c r="G472" s="18">
        <f>L362</f>
        <v>422383.04000000004</v>
      </c>
      <c r="H472" s="18">
        <f>L338</f>
        <v>275608.51000000007</v>
      </c>
      <c r="I472" s="18">
        <f>L382</f>
        <v>0</v>
      </c>
      <c r="J472" s="18">
        <f>L434</f>
        <v>5092.3099999999995</v>
      </c>
      <c r="K472" s="24" t="s">
        <v>288</v>
      </c>
      <c r="L472" s="24" t="s">
        <v>288</v>
      </c>
      <c r="N472" s="265"/>
    </row>
    <row r="473" spans="1:14" s="52" customFormat="1" ht="12.2" customHeight="1" x14ac:dyDescent="0.2">
      <c r="A473" s="93" t="s">
        <v>613</v>
      </c>
      <c r="B473" s="75">
        <v>19</v>
      </c>
      <c r="C473" s="80">
        <v>6</v>
      </c>
      <c r="D473" s="2" t="s">
        <v>432</v>
      </c>
      <c r="E473" s="80"/>
      <c r="F473" s="18">
        <v>22000</v>
      </c>
      <c r="G473" s="18"/>
      <c r="H473" s="18"/>
      <c r="I473" s="18">
        <v>7233.96</v>
      </c>
      <c r="J473" s="18">
        <v>6799</v>
      </c>
      <c r="K473" s="24" t="s">
        <v>288</v>
      </c>
      <c r="L473" s="24" t="s">
        <v>288</v>
      </c>
      <c r="N473" s="265"/>
    </row>
    <row r="474" spans="1:14" s="52" customFormat="1" ht="12.2" customHeight="1" x14ac:dyDescent="0.2">
      <c r="A474" s="92" t="s">
        <v>426</v>
      </c>
      <c r="B474" s="75">
        <v>19</v>
      </c>
      <c r="C474" s="80">
        <v>7</v>
      </c>
      <c r="D474" s="2" t="s">
        <v>432</v>
      </c>
      <c r="E474" s="80"/>
      <c r="F474" s="53">
        <f>SUM(F472:F473)</f>
        <v>16646219.980000004</v>
      </c>
      <c r="G474" s="53">
        <f>SUM(G472:G473)</f>
        <v>422383.04000000004</v>
      </c>
      <c r="H474" s="53">
        <f>SUM(H472:H473)</f>
        <v>275608.51000000007</v>
      </c>
      <c r="I474" s="53">
        <f>SUM(I472:I473)</f>
        <v>7233.96</v>
      </c>
      <c r="J474" s="53">
        <f>SUM(J472:J473)</f>
        <v>11891.31</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1283302.0899999924</v>
      </c>
      <c r="G476" s="53">
        <f>(G465+G470)- G474</f>
        <v>0</v>
      </c>
      <c r="H476" s="53">
        <f>(H465+H470)- H474</f>
        <v>37937.469999999972</v>
      </c>
      <c r="I476" s="53">
        <f>(I465+I470)- I474</f>
        <v>800.16999999999734</v>
      </c>
      <c r="J476" s="53">
        <f>(J465+J470)- J474</f>
        <v>660504.72</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1612</v>
      </c>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1612</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7</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1090000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2.14</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465000</v>
      </c>
      <c r="G495" s="18"/>
      <c r="H495" s="18"/>
      <c r="I495" s="18"/>
      <c r="J495" s="18"/>
      <c r="K495" s="53">
        <f>SUM(F495:J495)</f>
        <v>465000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6">SUM(F496:J496)</f>
        <v>0</v>
      </c>
      <c r="L496" s="24" t="s">
        <v>288</v>
      </c>
      <c r="N496" s="265"/>
    </row>
    <row r="497" spans="1:14" s="52" customFormat="1" ht="12.2" customHeight="1" x14ac:dyDescent="0.2">
      <c r="A497" s="22" t="s">
        <v>621</v>
      </c>
      <c r="B497" s="75">
        <v>20</v>
      </c>
      <c r="C497" s="115">
        <v>8</v>
      </c>
      <c r="D497" s="2" t="s">
        <v>432</v>
      </c>
      <c r="E497" s="115"/>
      <c r="F497" s="18">
        <v>155000</v>
      </c>
      <c r="G497" s="18"/>
      <c r="H497" s="18"/>
      <c r="I497" s="18"/>
      <c r="J497" s="18"/>
      <c r="K497" s="53">
        <f t="shared" si="36"/>
        <v>155000</v>
      </c>
      <c r="L497" s="24" t="s">
        <v>288</v>
      </c>
      <c r="N497" s="265"/>
    </row>
    <row r="498" spans="1:14" s="52" customFormat="1" ht="12.2" customHeight="1" x14ac:dyDescent="0.2">
      <c r="A498" s="200" t="s">
        <v>622</v>
      </c>
      <c r="B498" s="201">
        <v>20</v>
      </c>
      <c r="C498" s="202">
        <v>9</v>
      </c>
      <c r="D498" s="203" t="s">
        <v>432</v>
      </c>
      <c r="E498" s="202"/>
      <c r="F498" s="204">
        <f>F495-F497</f>
        <v>310000</v>
      </c>
      <c r="G498" s="204"/>
      <c r="H498" s="204"/>
      <c r="I498" s="204"/>
      <c r="J498" s="204"/>
      <c r="K498" s="205">
        <f t="shared" si="36"/>
        <v>310000</v>
      </c>
      <c r="L498" s="206" t="s">
        <v>288</v>
      </c>
      <c r="N498" s="265"/>
    </row>
    <row r="499" spans="1:14" s="52" customFormat="1" ht="12.2" customHeight="1" thickBot="1" x14ac:dyDescent="0.25">
      <c r="A499" s="22" t="s">
        <v>623</v>
      </c>
      <c r="B499" s="75">
        <v>20</v>
      </c>
      <c r="C499" s="115">
        <v>10</v>
      </c>
      <c r="D499" s="2" t="s">
        <v>432</v>
      </c>
      <c r="E499" s="115"/>
      <c r="F499" s="18">
        <f>8098.75+4146.25+4146.25</f>
        <v>16391.25</v>
      </c>
      <c r="G499" s="18"/>
      <c r="H499" s="18"/>
      <c r="I499" s="18"/>
      <c r="J499" s="18"/>
      <c r="K499" s="53">
        <f t="shared" si="36"/>
        <v>16391.25</v>
      </c>
      <c r="L499" s="24" t="s">
        <v>288</v>
      </c>
      <c r="N499" s="265"/>
    </row>
    <row r="500" spans="1:14" s="52" customFormat="1" ht="12.2" customHeight="1" thickTop="1" x14ac:dyDescent="0.2">
      <c r="A500" s="139" t="s">
        <v>624</v>
      </c>
      <c r="B500" s="44">
        <v>20</v>
      </c>
      <c r="C500" s="195">
        <v>11</v>
      </c>
      <c r="D500" s="39" t="s">
        <v>432</v>
      </c>
      <c r="E500" s="195"/>
      <c r="F500" s="42">
        <f>SUM(F498:F499)</f>
        <v>326391.25</v>
      </c>
      <c r="G500" s="42">
        <f>SUM(G498:G499)</f>
        <v>0</v>
      </c>
      <c r="H500" s="42">
        <f>SUM(H498:H499)</f>
        <v>0</v>
      </c>
      <c r="I500" s="42">
        <f>SUM(I498:I499)</f>
        <v>0</v>
      </c>
      <c r="J500" s="42">
        <f>SUM(J498:J499)</f>
        <v>0</v>
      </c>
      <c r="K500" s="42">
        <f t="shared" si="36"/>
        <v>326391.25</v>
      </c>
      <c r="L500" s="45" t="s">
        <v>288</v>
      </c>
      <c r="N500" s="265"/>
    </row>
    <row r="501" spans="1:14" s="52" customFormat="1" ht="12.2" customHeight="1" x14ac:dyDescent="0.2">
      <c r="A501" s="200" t="s">
        <v>651</v>
      </c>
      <c r="B501" s="201">
        <v>20</v>
      </c>
      <c r="C501" s="202">
        <v>12</v>
      </c>
      <c r="D501" s="203" t="s">
        <v>432</v>
      </c>
      <c r="E501" s="202"/>
      <c r="F501" s="204">
        <v>155000</v>
      </c>
      <c r="G501" s="204"/>
      <c r="H501" s="204"/>
      <c r="I501" s="204"/>
      <c r="J501" s="204"/>
      <c r="K501" s="205">
        <f t="shared" si="36"/>
        <v>155000</v>
      </c>
      <c r="L501" s="206" t="s">
        <v>288</v>
      </c>
      <c r="N501" s="265"/>
    </row>
    <row r="502" spans="1:14" s="52" customFormat="1" ht="12.2" customHeight="1" thickBot="1" x14ac:dyDescent="0.25">
      <c r="A502" s="22" t="s">
        <v>625</v>
      </c>
      <c r="B502" s="75">
        <v>20</v>
      </c>
      <c r="C502" s="115">
        <v>13</v>
      </c>
      <c r="D502" s="2" t="s">
        <v>432</v>
      </c>
      <c r="E502" s="115"/>
      <c r="F502" s="18">
        <f>8098.75+4146.25</f>
        <v>12245</v>
      </c>
      <c r="G502" s="18"/>
      <c r="H502" s="18"/>
      <c r="I502" s="18"/>
      <c r="J502" s="18"/>
      <c r="K502" s="53">
        <f t="shared" si="36"/>
        <v>12245</v>
      </c>
      <c r="L502" s="24" t="s">
        <v>288</v>
      </c>
      <c r="N502" s="265"/>
    </row>
    <row r="503" spans="1:14" s="52" customFormat="1" ht="12.2" customHeight="1" thickTop="1" x14ac:dyDescent="0.2">
      <c r="A503" s="139" t="s">
        <v>626</v>
      </c>
      <c r="B503" s="44">
        <v>20</v>
      </c>
      <c r="C503" s="195">
        <v>14</v>
      </c>
      <c r="D503" s="39" t="s">
        <v>432</v>
      </c>
      <c r="E503" s="195"/>
      <c r="F503" s="42">
        <f>SUM(F501:F502)</f>
        <v>167245</v>
      </c>
      <c r="G503" s="42">
        <f>SUM(G501:G502)</f>
        <v>0</v>
      </c>
      <c r="H503" s="42">
        <f>SUM(H501:H502)</f>
        <v>0</v>
      </c>
      <c r="I503" s="42">
        <f>SUM(I501:I502)</f>
        <v>0</v>
      </c>
      <c r="J503" s="42">
        <f>SUM(J501:J502)</f>
        <v>0</v>
      </c>
      <c r="K503" s="42">
        <f t="shared" si="36"/>
        <v>167245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c r="I521" s="18"/>
      <c r="J521" s="18"/>
      <c r="K521" s="18"/>
      <c r="L521" s="88">
        <f>SUM(F521:K521)</f>
        <v>0</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v>1357036.23</v>
      </c>
      <c r="G523" s="18">
        <v>631001.27</v>
      </c>
      <c r="H523" s="18">
        <v>451517.41</v>
      </c>
      <c r="I523" s="18">
        <v>4758.3500000000004</v>
      </c>
      <c r="J523" s="18">
        <v>10426</v>
      </c>
      <c r="K523" s="18">
        <v>0</v>
      </c>
      <c r="L523" s="88">
        <f>SUM(F523:K523)</f>
        <v>2454739.2600000002</v>
      </c>
      <c r="N523" s="265"/>
    </row>
    <row r="524" spans="1:14" s="52" customFormat="1" ht="12.2" customHeight="1" thickTop="1" x14ac:dyDescent="0.2">
      <c r="A524" s="139" t="s">
        <v>63</v>
      </c>
      <c r="B524" s="107">
        <v>21</v>
      </c>
      <c r="C524" s="195">
        <v>4</v>
      </c>
      <c r="D524" s="196" t="s">
        <v>432</v>
      </c>
      <c r="E524" s="195"/>
      <c r="F524" s="108">
        <f>SUM(F521:F523)</f>
        <v>1357036.23</v>
      </c>
      <c r="G524" s="108">
        <f t="shared" ref="G524:L524" si="37">SUM(G521:G523)</f>
        <v>631001.27</v>
      </c>
      <c r="H524" s="108">
        <f t="shared" si="37"/>
        <v>451517.41</v>
      </c>
      <c r="I524" s="108">
        <f t="shared" si="37"/>
        <v>4758.3500000000004</v>
      </c>
      <c r="J524" s="108">
        <f t="shared" si="37"/>
        <v>10426</v>
      </c>
      <c r="K524" s="108">
        <f t="shared" si="37"/>
        <v>0</v>
      </c>
      <c r="L524" s="89">
        <f t="shared" si="37"/>
        <v>2454739.2600000002</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v>133259</v>
      </c>
      <c r="G528" s="18">
        <v>40263.199999999997</v>
      </c>
      <c r="H528" s="18">
        <v>11045.57</v>
      </c>
      <c r="I528" s="18">
        <v>0</v>
      </c>
      <c r="J528" s="18">
        <v>0</v>
      </c>
      <c r="K528" s="18">
        <v>0</v>
      </c>
      <c r="L528" s="88">
        <f>SUM(F528:K528)</f>
        <v>184567.77000000002</v>
      </c>
      <c r="M528" s="8"/>
      <c r="N528" s="266"/>
    </row>
    <row r="529" spans="1:14" s="3" customFormat="1" ht="12.2" customHeight="1" thickTop="1" x14ac:dyDescent="0.15">
      <c r="A529" s="139" t="s">
        <v>65</v>
      </c>
      <c r="B529" s="107">
        <v>21</v>
      </c>
      <c r="C529" s="107">
        <v>8</v>
      </c>
      <c r="D529" s="158" t="s">
        <v>432</v>
      </c>
      <c r="E529" s="107"/>
      <c r="F529" s="89">
        <f>SUM(F526:F528)</f>
        <v>133259</v>
      </c>
      <c r="G529" s="89">
        <f t="shared" ref="G529:L529" si="38">SUM(G526:G528)</f>
        <v>40263.199999999997</v>
      </c>
      <c r="H529" s="89">
        <f t="shared" si="38"/>
        <v>11045.57</v>
      </c>
      <c r="I529" s="89">
        <f t="shared" si="38"/>
        <v>0</v>
      </c>
      <c r="J529" s="89">
        <f t="shared" si="38"/>
        <v>0</v>
      </c>
      <c r="K529" s="89">
        <f t="shared" si="38"/>
        <v>0</v>
      </c>
      <c r="L529" s="89">
        <f t="shared" si="38"/>
        <v>184567.77000000002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v>4020.55</v>
      </c>
      <c r="I533" s="18"/>
      <c r="J533" s="18"/>
      <c r="K533" s="18"/>
      <c r="L533" s="88">
        <f>SUM(F533:K533)</f>
        <v>4020.55</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9">SUM(G531:G533)</f>
        <v>0</v>
      </c>
      <c r="H534" s="89">
        <f t="shared" si="39"/>
        <v>4020.55</v>
      </c>
      <c r="I534" s="89">
        <f t="shared" si="39"/>
        <v>0</v>
      </c>
      <c r="J534" s="89">
        <f t="shared" si="39"/>
        <v>0</v>
      </c>
      <c r="K534" s="89">
        <f t="shared" si="39"/>
        <v>0</v>
      </c>
      <c r="L534" s="89">
        <f t="shared" si="39"/>
        <v>4020.55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v>2963.9</v>
      </c>
      <c r="I538" s="18"/>
      <c r="J538" s="18"/>
      <c r="K538" s="18"/>
      <c r="L538" s="88">
        <f>SUM(F538:K538)</f>
        <v>2963.9</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0">SUM(G536:G538)</f>
        <v>0</v>
      </c>
      <c r="H539" s="89">
        <f t="shared" si="40"/>
        <v>2963.9</v>
      </c>
      <c r="I539" s="89">
        <f t="shared" si="40"/>
        <v>0</v>
      </c>
      <c r="J539" s="89">
        <f t="shared" si="40"/>
        <v>0</v>
      </c>
      <c r="K539" s="89">
        <f t="shared" si="40"/>
        <v>0</v>
      </c>
      <c r="L539" s="89">
        <f t="shared" si="40"/>
        <v>2963.9</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f>166867.13+1761.86</f>
        <v>168628.99</v>
      </c>
      <c r="I543" s="18"/>
      <c r="J543" s="18"/>
      <c r="K543" s="18"/>
      <c r="L543" s="88">
        <f>SUM(F543:K543)</f>
        <v>168628.99</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1">SUM(G541:G543)</f>
        <v>0</v>
      </c>
      <c r="H544" s="193">
        <f t="shared" si="41"/>
        <v>168628.99</v>
      </c>
      <c r="I544" s="193">
        <f t="shared" si="41"/>
        <v>0</v>
      </c>
      <c r="J544" s="193">
        <f t="shared" si="41"/>
        <v>0</v>
      </c>
      <c r="K544" s="193">
        <f t="shared" si="41"/>
        <v>0</v>
      </c>
      <c r="L544" s="193">
        <f t="shared" si="41"/>
        <v>168628.99</v>
      </c>
      <c r="M544" s="8"/>
      <c r="N544" s="266"/>
    </row>
    <row r="545" spans="1:14" s="3" customFormat="1" ht="12.2" customHeight="1" thickTop="1" x14ac:dyDescent="0.15">
      <c r="A545" s="98" t="s">
        <v>72</v>
      </c>
      <c r="B545" s="107">
        <v>21</v>
      </c>
      <c r="C545" s="107">
        <v>21</v>
      </c>
      <c r="D545" s="158" t="s">
        <v>432</v>
      </c>
      <c r="E545" s="107"/>
      <c r="F545" s="89">
        <f>F524+F529+F534+F539+F544</f>
        <v>1490295.23</v>
      </c>
      <c r="G545" s="89">
        <f t="shared" ref="G545:L545" si="42">G524+G529+G534+G539+G544</f>
        <v>671264.47</v>
      </c>
      <c r="H545" s="89">
        <f t="shared" si="42"/>
        <v>638176.41999999993</v>
      </c>
      <c r="I545" s="89">
        <f t="shared" si="42"/>
        <v>4758.3500000000004</v>
      </c>
      <c r="J545" s="89">
        <f t="shared" si="42"/>
        <v>10426</v>
      </c>
      <c r="K545" s="89">
        <f t="shared" si="42"/>
        <v>0</v>
      </c>
      <c r="L545" s="89">
        <f t="shared" si="42"/>
        <v>2814920.4699999997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0</v>
      </c>
      <c r="G549" s="87">
        <f>L526</f>
        <v>0</v>
      </c>
      <c r="H549" s="87">
        <f>L531</f>
        <v>0</v>
      </c>
      <c r="I549" s="87">
        <f>L536</f>
        <v>0</v>
      </c>
      <c r="J549" s="87">
        <f>L541</f>
        <v>0</v>
      </c>
      <c r="K549" s="87">
        <f>SUM(F549:J549)</f>
        <v>0</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2454739.2600000002</v>
      </c>
      <c r="G551" s="87">
        <f>L528</f>
        <v>184567.77000000002</v>
      </c>
      <c r="H551" s="87">
        <f>L533</f>
        <v>4020.55</v>
      </c>
      <c r="I551" s="87">
        <f>L538</f>
        <v>2963.9</v>
      </c>
      <c r="J551" s="87">
        <f>L543</f>
        <v>168628.99</v>
      </c>
      <c r="K551" s="87">
        <f>SUM(F551:J551)</f>
        <v>2814920.4699999997</v>
      </c>
      <c r="L551" s="24" t="s">
        <v>288</v>
      </c>
      <c r="M551" s="8"/>
      <c r="N551" s="266"/>
    </row>
    <row r="552" spans="1:14" s="3" customFormat="1" ht="12.2" customHeight="1" thickTop="1" x14ac:dyDescent="0.15">
      <c r="A552" s="172" t="s">
        <v>340</v>
      </c>
      <c r="B552" s="44">
        <v>21</v>
      </c>
      <c r="C552" s="44">
        <v>25</v>
      </c>
      <c r="D552" s="39" t="s">
        <v>432</v>
      </c>
      <c r="E552" s="44"/>
      <c r="F552" s="89">
        <f t="shared" ref="F552:K552" si="43">SUM(F549:F551)</f>
        <v>2454739.2600000002</v>
      </c>
      <c r="G552" s="89">
        <f t="shared" si="43"/>
        <v>184567.77000000002</v>
      </c>
      <c r="H552" s="89">
        <f t="shared" si="43"/>
        <v>4020.55</v>
      </c>
      <c r="I552" s="89">
        <f t="shared" si="43"/>
        <v>2963.9</v>
      </c>
      <c r="J552" s="89">
        <f t="shared" si="43"/>
        <v>168628.99</v>
      </c>
      <c r="K552" s="89">
        <f t="shared" si="43"/>
        <v>2814920.4699999997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4">SUM(F557:F559)</f>
        <v>0</v>
      </c>
      <c r="G560" s="108">
        <f t="shared" si="44"/>
        <v>0</v>
      </c>
      <c r="H560" s="108">
        <f t="shared" si="44"/>
        <v>0</v>
      </c>
      <c r="I560" s="108">
        <f t="shared" si="44"/>
        <v>0</v>
      </c>
      <c r="J560" s="108">
        <f t="shared" si="44"/>
        <v>0</v>
      </c>
      <c r="K560" s="108">
        <f t="shared" si="44"/>
        <v>0</v>
      </c>
      <c r="L560" s="89">
        <f t="shared" si="44"/>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5">SUM(F562:F564)</f>
        <v>0</v>
      </c>
      <c r="G565" s="89">
        <f t="shared" si="45"/>
        <v>0</v>
      </c>
      <c r="H565" s="89">
        <f t="shared" si="45"/>
        <v>0</v>
      </c>
      <c r="I565" s="89">
        <f t="shared" si="45"/>
        <v>0</v>
      </c>
      <c r="J565" s="89">
        <f t="shared" si="45"/>
        <v>0</v>
      </c>
      <c r="K565" s="89">
        <f t="shared" si="45"/>
        <v>0</v>
      </c>
      <c r="L565" s="89">
        <f t="shared" si="45"/>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6">SUM(G567:G569)</f>
        <v>0</v>
      </c>
      <c r="H570" s="193">
        <f t="shared" si="46"/>
        <v>0</v>
      </c>
      <c r="I570" s="193">
        <f t="shared" si="46"/>
        <v>0</v>
      </c>
      <c r="J570" s="193">
        <f t="shared" si="46"/>
        <v>0</v>
      </c>
      <c r="K570" s="193">
        <f t="shared" si="46"/>
        <v>0</v>
      </c>
      <c r="L570" s="193">
        <f t="shared" si="46"/>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7">G560+G565+G570</f>
        <v>0</v>
      </c>
      <c r="H571" s="89">
        <f t="shared" si="47"/>
        <v>0</v>
      </c>
      <c r="I571" s="89">
        <f t="shared" si="47"/>
        <v>0</v>
      </c>
      <c r="J571" s="89">
        <f t="shared" si="47"/>
        <v>0</v>
      </c>
      <c r="K571" s="89">
        <f t="shared" si="47"/>
        <v>0</v>
      </c>
      <c r="L571" s="89">
        <f t="shared" si="47"/>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8">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8"/>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8"/>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35347.800000000003</v>
      </c>
      <c r="I579" s="87">
        <f t="shared" si="48"/>
        <v>35347.800000000003</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8"/>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8"/>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v>326942.28000000003</v>
      </c>
      <c r="I582" s="87">
        <f t="shared" si="48"/>
        <v>326942.28000000003</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v>86195.25</v>
      </c>
      <c r="I583" s="87">
        <f t="shared" si="48"/>
        <v>86195.25</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18660.64</v>
      </c>
      <c r="I584" s="87">
        <f t="shared" si="48"/>
        <v>18660.64</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8"/>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8"/>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8"/>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c r="I591" s="18"/>
      <c r="J591" s="18">
        <v>265501.13</v>
      </c>
      <c r="K591" s="104">
        <f t="shared" ref="K591:K597" si="49">SUM(H591:J591)</f>
        <v>265501.13</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f>166867.13+1671.84+90.02</f>
        <v>168628.99</v>
      </c>
      <c r="K592" s="104">
        <f t="shared" si="49"/>
        <v>168628.99</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30071.5</v>
      </c>
      <c r="K593" s="104">
        <f t="shared" si="49"/>
        <v>30071.5</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v>104549.55</v>
      </c>
      <c r="K594" s="104">
        <f t="shared" si="49"/>
        <v>104549.55</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v>9105.84</v>
      </c>
      <c r="K595" s="104">
        <f t="shared" si="49"/>
        <v>9105.84</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9"/>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9"/>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0</v>
      </c>
      <c r="I598" s="108">
        <f>SUM(I591:I597)</f>
        <v>0</v>
      </c>
      <c r="J598" s="108">
        <f>SUM(J591:J597)</f>
        <v>577857.01</v>
      </c>
      <c r="K598" s="108">
        <f>SUM(K591:K597)</f>
        <v>577857.01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v>313118.23</v>
      </c>
      <c r="K604" s="104">
        <f>SUM(H604:J604)</f>
        <v>313118.23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313118.23</v>
      </c>
      <c r="K605" s="108">
        <f>SUM(K602:K604)</f>
        <v>313118.23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v>32772.29</v>
      </c>
      <c r="G613" s="18">
        <v>7178.18</v>
      </c>
      <c r="H613" s="18"/>
      <c r="I613" s="18">
        <v>1591.14</v>
      </c>
      <c r="J613" s="18"/>
      <c r="K613" s="18"/>
      <c r="L613" s="88">
        <f>SUM(F613:K613)</f>
        <v>41541.61</v>
      </c>
      <c r="M613" s="8"/>
      <c r="N613" s="266"/>
    </row>
    <row r="614" spans="1:14" s="3" customFormat="1" ht="12.2" customHeight="1" thickTop="1" x14ac:dyDescent="0.15">
      <c r="A614" s="98" t="s">
        <v>340</v>
      </c>
      <c r="B614" s="107">
        <v>23</v>
      </c>
      <c r="C614" s="107">
        <v>16</v>
      </c>
      <c r="D614" s="39" t="s">
        <v>432</v>
      </c>
      <c r="E614" s="107"/>
      <c r="F614" s="108">
        <f t="shared" ref="F614:L614" si="50">SUM(F611:F613)</f>
        <v>32772.29</v>
      </c>
      <c r="G614" s="108">
        <f t="shared" si="50"/>
        <v>7178.18</v>
      </c>
      <c r="H614" s="108">
        <f t="shared" si="50"/>
        <v>0</v>
      </c>
      <c r="I614" s="108">
        <f t="shared" si="50"/>
        <v>1591.14</v>
      </c>
      <c r="J614" s="108">
        <f t="shared" si="50"/>
        <v>0</v>
      </c>
      <c r="K614" s="108">
        <f t="shared" si="50"/>
        <v>0</v>
      </c>
      <c r="L614" s="89">
        <f t="shared" si="50"/>
        <v>41541.61</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1678383.5599999998</v>
      </c>
      <c r="H617" s="109">
        <f>SUM(F52)</f>
        <v>1678383.5599999982</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21501.31</v>
      </c>
      <c r="H618" s="109">
        <f>SUM(G52)</f>
        <v>21501.31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138780.16</v>
      </c>
      <c r="H619" s="109">
        <f>SUM(H52)</f>
        <v>138780.16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8084.13</v>
      </c>
      <c r="H620" s="109">
        <f>SUM(I52)</f>
        <v>8084.13</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835173.5</v>
      </c>
      <c r="H621" s="109">
        <f>SUM(J52)</f>
        <v>835173.5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1283302.0899999982</v>
      </c>
      <c r="H622" s="109">
        <f>F476</f>
        <v>1283302.0899999924</v>
      </c>
      <c r="I622" s="121" t="s">
        <v>101</v>
      </c>
      <c r="J622" s="109">
        <f t="shared" ref="J622:J655" si="51">G622-H622</f>
        <v>5.8207660913467407E-9</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1"/>
        <v>0</v>
      </c>
      <c r="K623" s="109"/>
      <c r="L623" s="109"/>
      <c r="M623" s="8"/>
    </row>
    <row r="624" spans="1:14" s="3" customFormat="1" ht="12.2" customHeight="1" x14ac:dyDescent="0.15">
      <c r="A624" s="97"/>
      <c r="B624" s="105"/>
      <c r="C624" s="105"/>
      <c r="D624" s="105"/>
      <c r="E624" s="105"/>
      <c r="F624" s="120" t="s">
        <v>867</v>
      </c>
      <c r="G624" s="109">
        <f>H51</f>
        <v>37937.47</v>
      </c>
      <c r="H624" s="109">
        <f>H476</f>
        <v>37937.469999999972</v>
      </c>
      <c r="I624" s="121" t="s">
        <v>103</v>
      </c>
      <c r="J624" s="109">
        <f t="shared" si="51"/>
        <v>0</v>
      </c>
      <c r="K624" s="109"/>
      <c r="L624" s="109"/>
      <c r="M624" s="8"/>
    </row>
    <row r="625" spans="1:13" s="3" customFormat="1" ht="12.2" customHeight="1" x14ac:dyDescent="0.15">
      <c r="A625" s="97"/>
      <c r="B625" s="105"/>
      <c r="C625" s="105"/>
      <c r="D625" s="105"/>
      <c r="E625" s="105"/>
      <c r="F625" s="120" t="s">
        <v>868</v>
      </c>
      <c r="G625" s="109">
        <f>I51</f>
        <v>800.17</v>
      </c>
      <c r="H625" s="109">
        <f>I476</f>
        <v>800.16999999999734</v>
      </c>
      <c r="I625" s="121" t="s">
        <v>104</v>
      </c>
      <c r="J625" s="109">
        <f t="shared" si="51"/>
        <v>2.6147972675971687E-12</v>
      </c>
      <c r="K625" s="109"/>
      <c r="L625" s="109"/>
      <c r="M625" s="8"/>
    </row>
    <row r="626" spans="1:13" s="3" customFormat="1" ht="12.2" customHeight="1" x14ac:dyDescent="0.15">
      <c r="A626" s="22"/>
      <c r="B626" s="105"/>
      <c r="C626" s="105"/>
      <c r="D626" s="105"/>
      <c r="E626" s="105"/>
      <c r="F626" s="120" t="s">
        <v>869</v>
      </c>
      <c r="G626" s="109">
        <f>J51</f>
        <v>660504.72</v>
      </c>
      <c r="H626" s="109">
        <f>J476</f>
        <v>660504.72</v>
      </c>
      <c r="I626" s="140" t="s">
        <v>105</v>
      </c>
      <c r="J626" s="109">
        <f t="shared" si="51"/>
        <v>0</v>
      </c>
      <c r="K626" s="85"/>
      <c r="L626" s="88"/>
      <c r="M626" s="8"/>
    </row>
    <row r="627" spans="1:13" s="3" customFormat="1" ht="12.2" customHeight="1" x14ac:dyDescent="0.15">
      <c r="A627" s="22"/>
      <c r="B627" s="105"/>
      <c r="C627" s="105"/>
      <c r="D627" s="105"/>
      <c r="E627" s="105"/>
      <c r="F627" s="120" t="s">
        <v>658</v>
      </c>
      <c r="G627" s="109">
        <f>F193</f>
        <v>17234947.829999998</v>
      </c>
      <c r="H627" s="104">
        <f>SUM(F468)</f>
        <v>17234947.829999998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422383.03999999992</v>
      </c>
      <c r="H628" s="104">
        <f>SUM(G468)</f>
        <v>422383.03999999992</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292131.26</v>
      </c>
      <c r="H629" s="104">
        <f>SUM(H468)</f>
        <v>292131.26</v>
      </c>
      <c r="I629" s="140" t="s">
        <v>108</v>
      </c>
      <c r="J629" s="109">
        <f>G629-H629</f>
        <v>0</v>
      </c>
      <c r="K629" s="85"/>
      <c r="L629" s="88"/>
      <c r="M629" s="8"/>
    </row>
    <row r="630" spans="1:13" s="3" customFormat="1" ht="12.2" customHeight="1" x14ac:dyDescent="0.15">
      <c r="A630" s="22"/>
      <c r="B630" s="105"/>
      <c r="C630" s="105"/>
      <c r="D630" s="105"/>
      <c r="E630" s="105"/>
      <c r="F630" s="120" t="s">
        <v>661</v>
      </c>
      <c r="G630" s="109">
        <f>I193</f>
        <v>43.5</v>
      </c>
      <c r="H630" s="104">
        <f>SUM(I468)</f>
        <v>43.5</v>
      </c>
      <c r="I630" s="140" t="s">
        <v>109</v>
      </c>
      <c r="J630" s="109">
        <f>G630-H630</f>
        <v>0</v>
      </c>
      <c r="K630" s="85"/>
      <c r="L630" s="88"/>
      <c r="M630" s="8"/>
    </row>
    <row r="631" spans="1:13" s="3" customFormat="1" ht="12.2" customHeight="1" x14ac:dyDescent="0.15">
      <c r="A631" s="22"/>
      <c r="B631" s="105"/>
      <c r="C631" s="105"/>
      <c r="D631" s="105"/>
      <c r="E631" s="105"/>
      <c r="F631" s="120" t="s">
        <v>662</v>
      </c>
      <c r="G631" s="109">
        <f>J193</f>
        <v>72609.149999999994</v>
      </c>
      <c r="H631" s="104">
        <f>SUM(J468)</f>
        <v>72609.149999999994</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16624219.980000004</v>
      </c>
      <c r="H632" s="104">
        <f>SUM(F472)</f>
        <v>16624219.980000004</v>
      </c>
      <c r="I632" s="140" t="s">
        <v>111</v>
      </c>
      <c r="J632" s="109">
        <f t="shared" si="51"/>
        <v>0</v>
      </c>
      <c r="K632" s="85"/>
      <c r="L632" s="88"/>
      <c r="M632" s="8"/>
    </row>
    <row r="633" spans="1:13" s="3" customFormat="1" ht="12.2" customHeight="1" x14ac:dyDescent="0.15">
      <c r="A633" s="22"/>
      <c r="B633" s="105"/>
      <c r="C633" s="105"/>
      <c r="D633" s="105"/>
      <c r="E633" s="105"/>
      <c r="F633" s="120" t="s">
        <v>395</v>
      </c>
      <c r="G633" s="109">
        <f>SUM(L352)</f>
        <v>275608.51000000007</v>
      </c>
      <c r="H633" s="104">
        <f>SUM(H472)</f>
        <v>275608.51000000007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128938.25</v>
      </c>
      <c r="H634" s="104">
        <f>I369</f>
        <v>128938.25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422383.04000000004</v>
      </c>
      <c r="H635" s="104">
        <f>SUM(G472)</f>
        <v>422383.04000000004</v>
      </c>
      <c r="I635" s="140" t="s">
        <v>114</v>
      </c>
      <c r="J635" s="109">
        <f t="shared" si="51"/>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1"/>
        <v>0</v>
      </c>
      <c r="K636" s="85"/>
      <c r="L636" s="88"/>
      <c r="M636" s="168"/>
    </row>
    <row r="637" spans="1:13" s="3" customFormat="1" ht="12.2" customHeight="1" x14ac:dyDescent="0.15">
      <c r="A637" s="161"/>
      <c r="B637" s="162"/>
      <c r="C637" s="162"/>
      <c r="D637" s="162"/>
      <c r="E637" s="162"/>
      <c r="F637" s="163" t="s">
        <v>477</v>
      </c>
      <c r="G637" s="151">
        <f>SUM(L408)</f>
        <v>72609.149999999994</v>
      </c>
      <c r="H637" s="164">
        <f>SUM(J468)</f>
        <v>72609.149999999994</v>
      </c>
      <c r="I637" s="165" t="s">
        <v>110</v>
      </c>
      <c r="J637" s="151">
        <f t="shared" si="51"/>
        <v>0</v>
      </c>
      <c r="K637" s="166"/>
      <c r="L637" s="167"/>
      <c r="M637" s="8"/>
    </row>
    <row r="638" spans="1:13" s="3" customFormat="1" ht="12.2" customHeight="1" x14ac:dyDescent="0.15">
      <c r="A638" s="161"/>
      <c r="B638" s="162"/>
      <c r="C638" s="162"/>
      <c r="D638" s="162"/>
      <c r="E638" s="162"/>
      <c r="F638" s="163" t="s">
        <v>478</v>
      </c>
      <c r="G638" s="151">
        <f>SUM(L434)</f>
        <v>5092.3099999999995</v>
      </c>
      <c r="H638" s="164">
        <f>SUM(J472)</f>
        <v>5092.3099999999995</v>
      </c>
      <c r="I638" s="165" t="s">
        <v>117</v>
      </c>
      <c r="J638" s="151">
        <f t="shared" si="51"/>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1"/>
        <v>0</v>
      </c>
      <c r="K639" s="85"/>
      <c r="L639" s="88"/>
      <c r="M639" s="8"/>
    </row>
    <row r="640" spans="1:13" s="3" customFormat="1" ht="12.2" customHeight="1" x14ac:dyDescent="0.15">
      <c r="A640" s="22"/>
      <c r="B640" s="105"/>
      <c r="C640" s="105"/>
      <c r="D640" s="105"/>
      <c r="E640" s="105"/>
      <c r="F640" s="120" t="s">
        <v>119</v>
      </c>
      <c r="G640" s="109">
        <f>SUM(G446)</f>
        <v>659365.4</v>
      </c>
      <c r="H640" s="104">
        <f>SUM(G461)</f>
        <v>659365.4</v>
      </c>
      <c r="I640" s="140" t="s">
        <v>842</v>
      </c>
      <c r="J640" s="109">
        <f t="shared" si="51"/>
        <v>0</v>
      </c>
      <c r="K640" s="85"/>
      <c r="L640" s="88"/>
      <c r="M640" s="8"/>
    </row>
    <row r="641" spans="1:13" s="3" customFormat="1" ht="12.2" customHeight="1" x14ac:dyDescent="0.15">
      <c r="A641" s="22"/>
      <c r="B641" s="105"/>
      <c r="C641" s="105"/>
      <c r="D641" s="105"/>
      <c r="E641" s="105"/>
      <c r="F641" s="120" t="s">
        <v>120</v>
      </c>
      <c r="G641" s="109">
        <f>SUM(H446)</f>
        <v>175808.1</v>
      </c>
      <c r="H641" s="104">
        <f>SUM(H461)</f>
        <v>175808.1</v>
      </c>
      <c r="I641" s="140" t="s">
        <v>843</v>
      </c>
      <c r="J641" s="109">
        <f t="shared" si="51"/>
        <v>0</v>
      </c>
      <c r="K641" s="85"/>
      <c r="L641" s="88"/>
      <c r="M641" s="8"/>
    </row>
    <row r="642" spans="1:13" s="3" customFormat="1" ht="12.2" customHeight="1" x14ac:dyDescent="0.15">
      <c r="A642" s="22"/>
      <c r="B642" s="105"/>
      <c r="C642" s="105"/>
      <c r="D642" s="105"/>
      <c r="E642" s="105"/>
      <c r="F642" s="120" t="s">
        <v>121</v>
      </c>
      <c r="G642" s="109">
        <f>SUM(I446)</f>
        <v>835173.5</v>
      </c>
      <c r="H642" s="104">
        <f>SUM(I461)</f>
        <v>835173.5</v>
      </c>
      <c r="I642" s="140" t="s">
        <v>844</v>
      </c>
      <c r="J642" s="109">
        <f t="shared" si="51"/>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1"/>
        <v>0</v>
      </c>
      <c r="K643" s="85"/>
      <c r="L643" s="88"/>
      <c r="M643" s="8"/>
    </row>
    <row r="644" spans="1:13" s="3" customFormat="1" ht="12.2" customHeight="1" x14ac:dyDescent="0.15">
      <c r="A644" s="22"/>
      <c r="B644" s="105"/>
      <c r="C644" s="105"/>
      <c r="D644" s="105"/>
      <c r="E644" s="105"/>
      <c r="F644" s="120" t="s">
        <v>663</v>
      </c>
      <c r="G644" s="109">
        <f>J96</f>
        <v>67516.84</v>
      </c>
      <c r="H644" s="104">
        <f>H408</f>
        <v>67516.84</v>
      </c>
      <c r="I644" s="140" t="s">
        <v>480</v>
      </c>
      <c r="J644" s="109">
        <f t="shared" si="51"/>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1"/>
        <v>0</v>
      </c>
      <c r="K645" s="85"/>
      <c r="L645" s="88"/>
      <c r="M645" s="8"/>
    </row>
    <row r="646" spans="1:13" s="3" customFormat="1" ht="12.2" customHeight="1" x14ac:dyDescent="0.15">
      <c r="A646" s="22"/>
      <c r="B646" s="105"/>
      <c r="C646" s="105"/>
      <c r="D646" s="105"/>
      <c r="E646" s="105"/>
      <c r="F646" s="120" t="s">
        <v>662</v>
      </c>
      <c r="G646" s="109">
        <f>J193</f>
        <v>72609.149999999994</v>
      </c>
      <c r="H646" s="104">
        <f>L408</f>
        <v>72609.149999999994</v>
      </c>
      <c r="I646" s="140" t="s">
        <v>477</v>
      </c>
      <c r="J646" s="109">
        <f t="shared" si="51"/>
        <v>0</v>
      </c>
      <c r="K646" s="85"/>
      <c r="L646" s="88"/>
      <c r="M646" s="8"/>
    </row>
    <row r="647" spans="1:13" s="3" customFormat="1" ht="12.2" customHeight="1" x14ac:dyDescent="0.15">
      <c r="A647" s="22"/>
      <c r="B647" s="105"/>
      <c r="C647" s="105"/>
      <c r="D647" s="105"/>
      <c r="E647" s="105"/>
      <c r="F647" s="120" t="s">
        <v>51</v>
      </c>
      <c r="G647" s="109">
        <f>K598</f>
        <v>577857.01</v>
      </c>
      <c r="H647" s="104">
        <f>L208+L226+L244</f>
        <v>577857.01</v>
      </c>
      <c r="I647" s="140" t="s">
        <v>396</v>
      </c>
      <c r="J647" s="109">
        <f t="shared" si="51"/>
        <v>0</v>
      </c>
      <c r="K647" s="85"/>
      <c r="L647" s="88"/>
      <c r="M647" s="8"/>
    </row>
    <row r="648" spans="1:13" s="3" customFormat="1" ht="12.2" customHeight="1" x14ac:dyDescent="0.15">
      <c r="A648" s="22"/>
      <c r="B648" s="105"/>
      <c r="C648" s="105"/>
      <c r="D648" s="105"/>
      <c r="E648" s="105"/>
      <c r="F648" s="120" t="s">
        <v>52</v>
      </c>
      <c r="G648" s="109">
        <f>K605</f>
        <v>313118.23</v>
      </c>
      <c r="H648" s="104">
        <f>(J257+J338)-(J255+J336)</f>
        <v>313118.23</v>
      </c>
      <c r="I648" s="140" t="s">
        <v>699</v>
      </c>
      <c r="J648" s="109">
        <f t="shared" si="51"/>
        <v>0</v>
      </c>
      <c r="K648" s="85"/>
      <c r="L648" s="88"/>
      <c r="M648" s="8"/>
    </row>
    <row r="649" spans="1:13" s="3" customFormat="1" ht="12.2" customHeight="1" x14ac:dyDescent="0.15">
      <c r="A649" s="22"/>
      <c r="B649" s="105"/>
      <c r="C649" s="105"/>
      <c r="D649" s="105"/>
      <c r="E649" s="105"/>
      <c r="F649" s="120" t="s">
        <v>387</v>
      </c>
      <c r="G649" s="109">
        <f>L208</f>
        <v>0</v>
      </c>
      <c r="H649" s="104">
        <f>H598</f>
        <v>0</v>
      </c>
      <c r="I649" s="140" t="s">
        <v>388</v>
      </c>
      <c r="J649" s="109">
        <f t="shared" si="51"/>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1"/>
        <v>0</v>
      </c>
      <c r="K650" s="85"/>
      <c r="L650" s="88"/>
      <c r="M650" s="8"/>
    </row>
    <row r="651" spans="1:13" s="3" customFormat="1" ht="12.2" customHeight="1" x14ac:dyDescent="0.15">
      <c r="A651" s="22"/>
      <c r="B651" s="105"/>
      <c r="C651" s="105"/>
      <c r="D651" s="105"/>
      <c r="E651" s="105"/>
      <c r="F651" s="120" t="s">
        <v>393</v>
      </c>
      <c r="G651" s="109">
        <f>L244</f>
        <v>577857.01</v>
      </c>
      <c r="H651" s="104">
        <f>J598</f>
        <v>577857.01</v>
      </c>
      <c r="I651" s="140" t="s">
        <v>390</v>
      </c>
      <c r="J651" s="109">
        <f t="shared" si="51"/>
        <v>0</v>
      </c>
      <c r="K651" s="85"/>
      <c r="L651" s="88"/>
      <c r="M651" s="8"/>
    </row>
    <row r="652" spans="1:13" s="3" customFormat="1" ht="12.2" customHeight="1" x14ac:dyDescent="0.15">
      <c r="A652" s="22"/>
      <c r="B652" s="105"/>
      <c r="C652" s="105"/>
      <c r="D652" s="105"/>
      <c r="E652" s="105"/>
      <c r="F652" s="120" t="s">
        <v>665</v>
      </c>
      <c r="G652" s="109">
        <f>G179</f>
        <v>64043.48</v>
      </c>
      <c r="H652" s="104">
        <f>K263+K345</f>
        <v>64043.48</v>
      </c>
      <c r="I652" s="140" t="s">
        <v>397</v>
      </c>
      <c r="J652" s="109">
        <f t="shared" si="51"/>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1"/>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1"/>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1"/>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0</v>
      </c>
      <c r="G660" s="19">
        <f>(L229+L309+L359)</f>
        <v>0</v>
      </c>
      <c r="H660" s="19">
        <f>(L247+L328+L360)</f>
        <v>17002630.550000004</v>
      </c>
      <c r="I660" s="19">
        <f>SUM(F660:H660)</f>
        <v>17002630.550000004</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338088.83999999997</v>
      </c>
      <c r="I661" s="19">
        <f>SUM(F661:H661)</f>
        <v>338088.83999999997</v>
      </c>
      <c r="J661"/>
      <c r="K661" s="13"/>
      <c r="L661" s="13"/>
      <c r="M661" s="9"/>
    </row>
    <row r="662" spans="1:13" s="3" customFormat="1" ht="12.2" customHeight="1" x14ac:dyDescent="0.2">
      <c r="A662" s="1" t="s">
        <v>128</v>
      </c>
      <c r="F662" s="19">
        <f>(L208+L287)-(J208+J287)</f>
        <v>0</v>
      </c>
      <c r="G662" s="19">
        <f>(L226+L306)-(J226+J306)</f>
        <v>0</v>
      </c>
      <c r="H662" s="19">
        <f>(L244+L325)-(J244+J325)</f>
        <v>577857.01</v>
      </c>
      <c r="I662" s="19">
        <f>SUM(F662:H662)</f>
        <v>577857.01</v>
      </c>
      <c r="J662"/>
      <c r="K662" s="13"/>
      <c r="L662" s="13"/>
      <c r="M662" s="8"/>
    </row>
    <row r="663" spans="1:13" s="3" customFormat="1" ht="12.2" customHeight="1" x14ac:dyDescent="0.15">
      <c r="A663" s="198" t="s">
        <v>129</v>
      </c>
      <c r="B663" s="169"/>
      <c r="C663" s="169"/>
      <c r="D663" s="169"/>
      <c r="E663" s="169"/>
      <c r="F663" s="199">
        <f>SUM(F575:F587)+SUM(H602:H604)+SUM(L611)</f>
        <v>0</v>
      </c>
      <c r="G663" s="199">
        <f>SUM(G575:G587)+SUM(I602:I604)+L612</f>
        <v>0</v>
      </c>
      <c r="H663" s="199">
        <f>SUM(H575:H587)+SUM(J602:J604)+L613</f>
        <v>821805.80999999994</v>
      </c>
      <c r="I663" s="19">
        <f>SUM(F663:H663)</f>
        <v>821805.80999999994</v>
      </c>
      <c r="J663" s="13"/>
      <c r="K663" s="13"/>
      <c r="L663" s="13"/>
      <c r="M663" s="9"/>
    </row>
    <row r="664" spans="1:13" s="3" customFormat="1" ht="12.2" customHeight="1" x14ac:dyDescent="0.15">
      <c r="A664" s="1" t="s">
        <v>130</v>
      </c>
      <c r="F664" s="19">
        <f>F660-SUM(F661:F663)</f>
        <v>0</v>
      </c>
      <c r="G664" s="19">
        <f>G660-SUM(G661:G663)</f>
        <v>0</v>
      </c>
      <c r="H664" s="19">
        <f>H660-SUM(H661:H663)</f>
        <v>15264878.890000004</v>
      </c>
      <c r="I664" s="19">
        <f>I660-SUM(I661:I663)</f>
        <v>15264878.890000004</v>
      </c>
      <c r="J664" s="13"/>
      <c r="K664" s="13"/>
      <c r="L664" s="13"/>
      <c r="M664" s="9"/>
    </row>
    <row r="665" spans="1:13" s="3" customFormat="1" ht="12.2" customHeight="1" x14ac:dyDescent="0.2">
      <c r="A665" s="1" t="s">
        <v>131</v>
      </c>
      <c r="F665" s="246"/>
      <c r="G665" s="247"/>
      <c r="H665" s="247">
        <v>736.5</v>
      </c>
      <c r="I665" s="19">
        <f>SUM(F665:H665)</f>
        <v>736.5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f>ROUND(H664/H665,2)</f>
        <v>20726.240000000002</v>
      </c>
      <c r="I667" s="19">
        <f>ROUND(I664/I665,2)</f>
        <v>20726.240000000002</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-4.34</v>
      </c>
      <c r="I670" s="19">
        <f>SUM(F670:H670)</f>
        <v>-4.34</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f>ROUND((H664+H669)/(H665+H670),2)</f>
        <v>20849.099999999999</v>
      </c>
      <c r="I672" s="19">
        <f>ROUND((I664+I669)/(I665+I670),2)</f>
        <v>20849.099999999999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Souhegan Cooperative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4738138.6100000003</v>
      </c>
      <c r="C9" s="229">
        <f>'DOE25'!G197+'DOE25'!G215+'DOE25'!G233+'DOE25'!G276+'DOE25'!G295+'DOE25'!G314</f>
        <v>2142567.9099999997</v>
      </c>
    </row>
    <row r="10" spans="1:3" x14ac:dyDescent="0.2">
      <c r="A10" t="s">
        <v>775</v>
      </c>
      <c r="B10" s="240">
        <v>4528824.42</v>
      </c>
      <c r="C10" s="240">
        <f>C9*B10/B13</f>
        <v>2047916.8447789168</v>
      </c>
    </row>
    <row r="11" spans="1:3" x14ac:dyDescent="0.2">
      <c r="A11" t="s">
        <v>776</v>
      </c>
      <c r="B11" s="240">
        <v>42029.77</v>
      </c>
      <c r="C11" s="240">
        <f>C9*B11/B13</f>
        <v>19005.699047432616</v>
      </c>
    </row>
    <row r="12" spans="1:3" x14ac:dyDescent="0.2">
      <c r="A12" t="s">
        <v>777</v>
      </c>
      <c r="B12" s="240">
        <v>167284.42000000001</v>
      </c>
      <c r="C12" s="240">
        <f>C9*B12/B13</f>
        <v>75645.366173650677</v>
      </c>
    </row>
    <row r="13" spans="1:3" x14ac:dyDescent="0.2">
      <c r="A13" t="str">
        <f>IF(B9=B13,IF(C9=C13,"Check Total OK","Check Total Error"),"Check Total Error")</f>
        <v>Check Total OK</v>
      </c>
      <c r="B13" s="231">
        <f>SUM(B10:B12)</f>
        <v>4738138.6099999994</v>
      </c>
      <c r="C13" s="231">
        <f>SUM(C10:C12)</f>
        <v>2142567.91</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1357036.23</v>
      </c>
      <c r="C18" s="229">
        <f>'DOE25'!G198+'DOE25'!G216+'DOE25'!G234+'DOE25'!G277+'DOE25'!G296+'DOE25'!G315</f>
        <v>631001.27</v>
      </c>
    </row>
    <row r="19" spans="1:3" x14ac:dyDescent="0.2">
      <c r="A19" t="s">
        <v>775</v>
      </c>
      <c r="B19" s="240">
        <v>760594.41</v>
      </c>
      <c r="C19" s="240">
        <f>C18*B19/B22</f>
        <v>353664.86763945926</v>
      </c>
    </row>
    <row r="20" spans="1:3" x14ac:dyDescent="0.2">
      <c r="A20" t="s">
        <v>776</v>
      </c>
      <c r="B20" s="240">
        <v>552766.65</v>
      </c>
      <c r="C20" s="240">
        <f>C18*B20/B22</f>
        <v>257028.11056389078</v>
      </c>
    </row>
    <row r="21" spans="1:3" x14ac:dyDescent="0.2">
      <c r="A21" t="s">
        <v>777</v>
      </c>
      <c r="B21" s="240">
        <v>43675.17</v>
      </c>
      <c r="C21" s="240">
        <f>C18*B21/B22</f>
        <v>20308.291796650043</v>
      </c>
    </row>
    <row r="22" spans="1:3" x14ac:dyDescent="0.2">
      <c r="A22" t="str">
        <f>IF(B18=B22,IF(C18=C22,"Check Total OK","Check Total Error"),"Check Total Error")</f>
        <v>Check Total OK</v>
      </c>
      <c r="B22" s="231">
        <f>SUM(B19:B21)</f>
        <v>1357036.23</v>
      </c>
      <c r="C22" s="231">
        <f>SUM(C19:C21)</f>
        <v>631001.27</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371580.51</v>
      </c>
      <c r="C36" s="235">
        <f>'DOE25'!G200+'DOE25'!G218+'DOE25'!G236+'DOE25'!G279+'DOE25'!G298+'DOE25'!G317</f>
        <v>68281.69</v>
      </c>
    </row>
    <row r="37" spans="1:3" x14ac:dyDescent="0.2">
      <c r="A37" t="s">
        <v>775</v>
      </c>
      <c r="B37" s="240">
        <f>77684.8+900</f>
        <v>78584.800000000003</v>
      </c>
      <c r="C37" s="240">
        <f>C36*B37/B40</f>
        <v>14440.75458185899</v>
      </c>
    </row>
    <row r="38" spans="1:3" x14ac:dyDescent="0.2">
      <c r="A38" t="s">
        <v>776</v>
      </c>
      <c r="B38" s="240">
        <f>14028.69+450+450</f>
        <v>14928.69</v>
      </c>
      <c r="C38" s="240">
        <f>C36*B38/B40</f>
        <v>2743.298303471568</v>
      </c>
    </row>
    <row r="39" spans="1:3" x14ac:dyDescent="0.2">
      <c r="A39" t="s">
        <v>777</v>
      </c>
      <c r="B39" s="240">
        <f>275253.28+1978.08+835.66</f>
        <v>278067.02</v>
      </c>
      <c r="C39" s="240">
        <f>C36*B39/B40</f>
        <v>51097.637114669444</v>
      </c>
    </row>
    <row r="40" spans="1:3" x14ac:dyDescent="0.2">
      <c r="A40" t="str">
        <f>IF(B36=B40,IF(C36=C40,"Check Total OK","Check Total Error"),"Check Total Error")</f>
        <v>Check Total OK</v>
      </c>
      <c r="B40" s="231">
        <f>SUM(B37:B39)</f>
        <v>371580.51</v>
      </c>
      <c r="C40" s="231">
        <f>SUM(C37:C39)</f>
        <v>68281.69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5" sqref="F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Souhegan Cooperative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10093101.040000001</v>
      </c>
      <c r="D5" s="20">
        <f>SUM('DOE25'!L197:L200)+SUM('DOE25'!L215:L218)+SUM('DOE25'!L233:L236)-F5-G5-H5</f>
        <v>9864389.4800000004</v>
      </c>
      <c r="E5" s="243"/>
      <c r="F5" s="244"/>
      <c r="G5" s="53">
        <f>SUM('DOE25'!J197:J200)+SUM('DOE25'!J215:J218)+SUM('DOE25'!J233:J236)</f>
        <v>200126.55</v>
      </c>
      <c r="H5" s="53">
        <f>SUM('DOE25'!K197:K200)+SUM('DOE25'!K215:K218)+SUM('DOE25'!K233:K236)</f>
        <v>28585.01</v>
      </c>
      <c r="I5" s="256"/>
    </row>
    <row r="6" spans="1:9" x14ac:dyDescent="0.2">
      <c r="A6" s="32">
        <v>2100</v>
      </c>
      <c r="B6" t="s">
        <v>796</v>
      </c>
      <c r="C6" s="276">
        <f t="shared" si="0"/>
        <v>1673205.55</v>
      </c>
      <c r="D6" s="20">
        <f>'DOE25'!L202+'DOE25'!L220+'DOE25'!L238-F6-G6-H6</f>
        <v>1672060.55</v>
      </c>
      <c r="E6" s="243"/>
      <c r="F6" s="244"/>
      <c r="G6" s="53">
        <f>'DOE25'!J202+'DOE25'!J220+'DOE25'!J238</f>
        <v>0</v>
      </c>
      <c r="H6" s="53">
        <f>'DOE25'!K202+'DOE25'!K220+'DOE25'!K238</f>
        <v>1145</v>
      </c>
      <c r="I6" s="256"/>
    </row>
    <row r="7" spans="1:9" x14ac:dyDescent="0.2">
      <c r="A7" s="32">
        <v>2200</v>
      </c>
      <c r="B7" t="s">
        <v>821</v>
      </c>
      <c r="C7" s="276">
        <f t="shared" si="0"/>
        <v>576658.97</v>
      </c>
      <c r="D7" s="20">
        <f>'DOE25'!L203+'DOE25'!L221+'DOE25'!L239-F7-G7-H7</f>
        <v>575097.82999999996</v>
      </c>
      <c r="E7" s="243"/>
      <c r="F7" s="244"/>
      <c r="G7" s="53">
        <f>'DOE25'!J203+'DOE25'!J221+'DOE25'!J239</f>
        <v>1239.1400000000001</v>
      </c>
      <c r="H7" s="53">
        <f>'DOE25'!K203+'DOE25'!K221+'DOE25'!K239</f>
        <v>322</v>
      </c>
      <c r="I7" s="256"/>
    </row>
    <row r="8" spans="1:9" x14ac:dyDescent="0.2">
      <c r="A8" s="32">
        <v>2300</v>
      </c>
      <c r="B8" t="s">
        <v>797</v>
      </c>
      <c r="C8" s="276">
        <f t="shared" si="0"/>
        <v>882277.09000000008</v>
      </c>
      <c r="D8" s="243"/>
      <c r="E8" s="20">
        <f>'DOE25'!L204+'DOE25'!L222+'DOE25'!L240-F8-G8-H8-D9-D11</f>
        <v>873770.56</v>
      </c>
      <c r="F8" s="244"/>
      <c r="G8" s="53">
        <f>'DOE25'!J204+'DOE25'!J222+'DOE25'!J240</f>
        <v>0</v>
      </c>
      <c r="H8" s="53">
        <f>'DOE25'!K204+'DOE25'!K222+'DOE25'!K240</f>
        <v>8506.5300000000007</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824766.29000000015</v>
      </c>
      <c r="D12" s="20">
        <f>'DOE25'!L205+'DOE25'!L223+'DOE25'!L241-F12-G12-H12</f>
        <v>771441.9800000001</v>
      </c>
      <c r="E12" s="243"/>
      <c r="F12" s="244"/>
      <c r="G12" s="53">
        <f>'DOE25'!J205+'DOE25'!J223+'DOE25'!J241</f>
        <v>26325</v>
      </c>
      <c r="H12" s="53">
        <f>'DOE25'!K205+'DOE25'!K223+'DOE25'!K241</f>
        <v>26999.31</v>
      </c>
      <c r="I12" s="256"/>
    </row>
    <row r="13" spans="1:9" x14ac:dyDescent="0.2">
      <c r="A13" s="32">
        <v>2500</v>
      </c>
      <c r="B13" t="s">
        <v>798</v>
      </c>
      <c r="C13" s="276">
        <f t="shared" si="0"/>
        <v>2243.5500000000002</v>
      </c>
      <c r="D13" s="243"/>
      <c r="E13" s="20">
        <f>'DOE25'!L206+'DOE25'!L224+'DOE25'!L242-F13-G13-H13</f>
        <v>2243.5500000000002</v>
      </c>
      <c r="F13" s="244"/>
      <c r="G13" s="53">
        <f>'DOE25'!J206+'DOE25'!J224+'DOE25'!J242</f>
        <v>0</v>
      </c>
      <c r="H13" s="53">
        <f>'DOE25'!K206+'DOE25'!K224+'DOE25'!K242</f>
        <v>0</v>
      </c>
      <c r="I13" s="256"/>
    </row>
    <row r="14" spans="1:9" x14ac:dyDescent="0.2">
      <c r="A14" s="32">
        <v>2600</v>
      </c>
      <c r="B14" t="s">
        <v>819</v>
      </c>
      <c r="C14" s="276">
        <f t="shared" si="0"/>
        <v>1255121.05</v>
      </c>
      <c r="D14" s="20">
        <f>'DOE25'!L207+'DOE25'!L225+'DOE25'!L243-F14-G14-H14</f>
        <v>1213416.1000000001</v>
      </c>
      <c r="E14" s="243"/>
      <c r="F14" s="244"/>
      <c r="G14" s="53">
        <f>'DOE25'!J207+'DOE25'!J225+'DOE25'!J243</f>
        <v>41463.699999999997</v>
      </c>
      <c r="H14" s="53">
        <f>'DOE25'!K207+'DOE25'!K225+'DOE25'!K243</f>
        <v>241.25</v>
      </c>
      <c r="I14" s="256"/>
    </row>
    <row r="15" spans="1:9" x14ac:dyDescent="0.2">
      <c r="A15" s="32">
        <v>2700</v>
      </c>
      <c r="B15" t="s">
        <v>799</v>
      </c>
      <c r="C15" s="276">
        <f t="shared" si="0"/>
        <v>577857.01</v>
      </c>
      <c r="D15" s="20">
        <f>'DOE25'!L208+'DOE25'!L226+'DOE25'!L244-F15-G15-H15</f>
        <v>577857.01</v>
      </c>
      <c r="E15" s="243"/>
      <c r="F15" s="244"/>
      <c r="G15" s="53">
        <f>'DOE25'!J208+'DOE25'!J226+'DOE25'!J244</f>
        <v>0</v>
      </c>
      <c r="H15" s="53">
        <f>'DOE25'!K208+'DOE25'!K226+'DOE25'!K244</f>
        <v>0</v>
      </c>
      <c r="I15" s="256"/>
    </row>
    <row r="16" spans="1:9" x14ac:dyDescent="0.2">
      <c r="A16" s="32">
        <v>2800</v>
      </c>
      <c r="B16" t="s">
        <v>800</v>
      </c>
      <c r="C16" s="276">
        <f t="shared" si="0"/>
        <v>419408.44999999995</v>
      </c>
      <c r="D16" s="243"/>
      <c r="E16" s="20">
        <f>'DOE25'!L209+'DOE25'!L227+'DOE25'!L245-F16-G16-H16</f>
        <v>375444.61</v>
      </c>
      <c r="F16" s="244"/>
      <c r="G16" s="53">
        <f>'DOE25'!J209+'DOE25'!J227+'DOE25'!J245</f>
        <v>43963.839999999997</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80000</v>
      </c>
      <c r="D22" s="243"/>
      <c r="E22" s="243"/>
      <c r="F22" s="243"/>
      <c r="G22" s="53">
        <f>'DOE25'!L255+'DOE25'!L336</f>
        <v>80000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175537.5</v>
      </c>
      <c r="D25" s="243"/>
      <c r="E25" s="243"/>
      <c r="F25" s="255"/>
      <c r="G25" s="253"/>
      <c r="H25" s="253"/>
      <c r="I25" s="254">
        <f>'DOE25'!L260+'DOE25'!L261+'DOE25'!L341+'DOE25'!L342</f>
        <v>175537.5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301944.96000000002</v>
      </c>
      <c r="D29" s="284">
        <f>'DOE25'!L358+'DOE25'!L359+'DOE25'!L360-'DOE25'!I367-F29-G29-H29</f>
        <v>301799.69</v>
      </c>
      <c r="E29" s="243"/>
      <c r="F29" s="244"/>
      <c r="G29" s="53">
        <f>'DOE25'!J358+'DOE25'!J359+'DOE25'!J360</f>
        <v>0</v>
      </c>
      <c r="H29" s="53">
        <f>'DOE25'!K358+'DOE25'!K359+'DOE25'!K360</f>
        <v>145.27000000000001</v>
      </c>
      <c r="I29" s="256"/>
    </row>
    <row r="30" spans="1:9" x14ac:dyDescent="0.2">
      <c r="A30" s="32"/>
      <c r="C30" s="277"/>
      <c r="D30" s="20"/>
      <c r="E30" s="281"/>
      <c r="F30" s="271"/>
      <c r="G30" s="53"/>
      <c r="H30" s="53"/>
      <c r="I30" s="256"/>
    </row>
    <row r="31" spans="1:9" x14ac:dyDescent="0.2">
      <c r="A31" s="32" t="s">
        <v>818</v>
      </c>
      <c r="B31" t="s">
        <v>817</v>
      </c>
      <c r="C31" s="276">
        <f>SUM(D31:I31)</f>
        <v>275608.51000000007</v>
      </c>
      <c r="D31" s="20">
        <f>'DOE25'!L290+'DOE25'!L309+'DOE25'!L328+'DOE25'!L333+'DOE25'!L334+'DOE25'!L335-F31-G31-H31</f>
        <v>275608.51000000007</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15251671.15</v>
      </c>
      <c r="E33" s="245">
        <f t="shared" si="1"/>
        <v>1251458.7200000002</v>
      </c>
      <c r="F33" s="245">
        <f t="shared" si="1"/>
        <v>0</v>
      </c>
      <c r="G33" s="245">
        <f t="shared" si="1"/>
        <v>393118.23</v>
      </c>
      <c r="H33" s="245">
        <f t="shared" si="1"/>
        <v>65944.37000000001</v>
      </c>
      <c r="I33" s="245">
        <f t="shared" si="1"/>
        <v>175537.5</v>
      </c>
    </row>
    <row r="35" spans="1:9" ht="12" thickBot="1" x14ac:dyDescent="0.25">
      <c r="B35" s="251" t="s">
        <v>831</v>
      </c>
      <c r="D35" s="252">
        <f>E33</f>
        <v>1251458.7200000002</v>
      </c>
      <c r="E35" s="248"/>
    </row>
    <row r="36" spans="1:9" ht="12" thickTop="1" x14ac:dyDescent="0.2">
      <c r="B36" t="s">
        <v>810</v>
      </c>
      <c r="D36" s="20">
        <f>D33</f>
        <v>15251671.15</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2" sqref="A2"/>
    </sheetView>
  </sheetViews>
  <sheetFormatPr defaultRowHeight="11.25" x14ac:dyDescent="0.2"/>
  <cols>
    <col min="1" max="1" width="35.6640625" customWidth="1"/>
    <col min="2" max="2" width="22.33203125" customWidth="1"/>
    <col min="3" max="3" width="22" customWidth="1"/>
    <col min="4" max="5" width="14.6640625" customWidth="1"/>
    <col min="6" max="6" width="14.1640625" bestFit="1"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Souhegan Cooperative School District</v>
      </c>
      <c r="B2" s="126">
        <f>'DOE25'!B2</f>
        <v>493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0</v>
      </c>
      <c r="G4" s="303">
        <f>'DOE25'!L211+'DOE25'!L290</f>
        <v>0</v>
      </c>
      <c r="H4" s="304">
        <f>F4-G4</f>
        <v>0</v>
      </c>
      <c r="I4" s="310" t="str">
        <f>IF(H4=0,"","Does not match DOE25 page 7 and 11 Totals!!")</f>
        <v/>
      </c>
      <c r="N4"/>
    </row>
    <row r="5" spans="1:18" x14ac:dyDescent="0.2">
      <c r="A5" s="21"/>
      <c r="B5" s="305" t="str">
        <f>IFERROR(VLOOKUP(A5,'School Tables'!$C$3:$D$368,2,FALSE),"")</f>
        <v/>
      </c>
      <c r="C5" s="297" t="str">
        <f>IFERROR(INDEX('School Tables'!$B$3:$B$368,MATCH('School Level Expenditures'!B5,'School Tables'!$D$3:$D$368,0)),"")</f>
        <v/>
      </c>
      <c r="D5" s="294"/>
      <c r="E5" s="294"/>
      <c r="F5" s="313">
        <f>D5+E5</f>
        <v>0</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16580247.510000004</v>
      </c>
      <c r="G36" s="303">
        <f>'DOE25'!L247+'DOE25'!L328</f>
        <v>16580247.510000004</v>
      </c>
      <c r="H36" s="304">
        <f>F36-G36</f>
        <v>0</v>
      </c>
      <c r="I36" s="310" t="str">
        <f>IF(H36=0,"","Does not match DOE25 page 9 and 13 Totals!!")</f>
        <v/>
      </c>
      <c r="N36"/>
    </row>
    <row r="37" spans="1:14" x14ac:dyDescent="0.2">
      <c r="A37" s="21" t="s">
        <v>1450</v>
      </c>
      <c r="B37" s="305">
        <f>IFERROR(VLOOKUP(A37,'School Tables'!$O$3:$P$122,2,FALSE),"")</f>
        <v>26860</v>
      </c>
      <c r="C37" s="297" t="str">
        <f t="array" ref="C37">IFERROR(INDEX('School Tables'!$N$3:$N$122,MATCH('School Level Expenditures'!B37,'School Tables'!$P$3:$P$122,0)),"")</f>
        <v>Souhegan Cooperative</v>
      </c>
      <c r="D37" s="294">
        <f>'DOE25'!L247-'DOE25'!F169+'DOE25'!H102</f>
        <v>16279789.960000003</v>
      </c>
      <c r="E37" s="294">
        <f>'DOE25'!L328+'DOE25'!F169-'DOE25'!H102</f>
        <v>300457.55000000005</v>
      </c>
      <c r="F37" s="308">
        <f>D37+E37</f>
        <v>16580247.510000004</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YOmc7ouWTAfU9vhjIhJ+DkStVkVc9wCvvvpyo/bT3IGPoqQuGH9nAf8Zu/OqaOTxlxQZ9EdzV9FMIfFhgVkocg==" saltValue="jUyj/Baq/7H3+RDBJl6Yqg==" spinCount="100000"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Souhegan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499341.43</v>
      </c>
      <c r="D8" s="95">
        <f>'DOE25'!G9</f>
        <v>794.65</v>
      </c>
      <c r="E8" s="95">
        <f>'DOE25'!H9</f>
        <v>37937.47</v>
      </c>
      <c r="F8" s="95">
        <f>'DOE25'!I9</f>
        <v>8084.13</v>
      </c>
      <c r="G8" s="95">
        <f>'DOE25'!J9</f>
        <v>174668.78</v>
      </c>
      <c r="H8" s="124"/>
      <c r="I8" s="124"/>
    </row>
    <row r="9" spans="1:9" x14ac:dyDescent="0.2">
      <c r="A9" s="1" t="s">
        <v>140</v>
      </c>
      <c r="B9" s="6">
        <v>110</v>
      </c>
      <c r="C9" s="95">
        <f>'DOE25'!F10</f>
        <v>1074981.04</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80721.649999999994</v>
      </c>
      <c r="D11" s="95">
        <f>'DOE25'!G12</f>
        <v>0</v>
      </c>
      <c r="E11" s="95">
        <f>'DOE25'!H12</f>
        <v>0</v>
      </c>
      <c r="F11" s="95">
        <f>'DOE25'!I12</f>
        <v>0</v>
      </c>
      <c r="G11" s="95">
        <f>'DOE25'!J12</f>
        <v>1085.6199999999999</v>
      </c>
      <c r="H11" s="124"/>
      <c r="I11" s="124"/>
    </row>
    <row r="12" spans="1:9" x14ac:dyDescent="0.2">
      <c r="A12" s="1" t="s">
        <v>143</v>
      </c>
      <c r="B12" s="6">
        <v>140</v>
      </c>
      <c r="C12" s="95">
        <f>'DOE25'!F13</f>
        <v>23045.99</v>
      </c>
      <c r="D12" s="95">
        <f>'DOE25'!G13</f>
        <v>20395.95</v>
      </c>
      <c r="E12" s="95">
        <f>'DOE25'!H13</f>
        <v>100842.69</v>
      </c>
      <c r="F12" s="95">
        <f>'DOE25'!I13</f>
        <v>0</v>
      </c>
      <c r="G12" s="95">
        <f>'DOE25'!J13</f>
        <v>659419.1</v>
      </c>
      <c r="H12" s="124"/>
      <c r="I12" s="124"/>
    </row>
    <row r="13" spans="1:9" x14ac:dyDescent="0.2">
      <c r="A13" s="1" t="s">
        <v>144</v>
      </c>
      <c r="B13" s="6">
        <v>150</v>
      </c>
      <c r="C13" s="95">
        <f>'DOE25'!F14</f>
        <v>293.45</v>
      </c>
      <c r="D13" s="95">
        <f>'DOE25'!G14</f>
        <v>310.70999999999998</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1678383.5599999998</v>
      </c>
      <c r="D18" s="41">
        <f>SUM(D8:D17)</f>
        <v>21501.31</v>
      </c>
      <c r="E18" s="41">
        <f>SUM(E8:E17)</f>
        <v>138780.16</v>
      </c>
      <c r="F18" s="41">
        <f>SUM(F8:F17)</f>
        <v>8084.13</v>
      </c>
      <c r="G18" s="41">
        <f>SUM(G8:G17)</f>
        <v>835173.5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5400.62</v>
      </c>
      <c r="E21" s="95">
        <f>'DOE25'!H22</f>
        <v>69122.69</v>
      </c>
      <c r="F21" s="95">
        <f>'DOE25'!I22</f>
        <v>7283.96</v>
      </c>
      <c r="G21" s="95">
        <f>'DOE25'!J22</f>
        <v>0</v>
      </c>
      <c r="H21" s="124"/>
      <c r="I21" s="124"/>
    </row>
    <row r="22" spans="1:9" x14ac:dyDescent="0.2">
      <c r="A22" s="1" t="s">
        <v>151</v>
      </c>
      <c r="B22" s="6">
        <v>410</v>
      </c>
      <c r="C22" s="95">
        <f>'DOE25'!F23</f>
        <v>4042.24</v>
      </c>
      <c r="D22" s="95">
        <f>'DOE25'!G23</f>
        <v>0</v>
      </c>
      <c r="E22" s="95">
        <f>'DOE25'!H23</f>
        <v>0</v>
      </c>
      <c r="F22" s="95">
        <f>'DOE25'!I23</f>
        <v>0</v>
      </c>
      <c r="G22" s="95">
        <f>'DOE25'!J23</f>
        <v>0</v>
      </c>
      <c r="H22" s="124"/>
      <c r="I22" s="124"/>
    </row>
    <row r="23" spans="1:9" x14ac:dyDescent="0.2">
      <c r="A23" s="1" t="s">
        <v>152</v>
      </c>
      <c r="B23" s="6">
        <v>420</v>
      </c>
      <c r="C23" s="95">
        <f>'DOE25'!F24</f>
        <v>218961.76</v>
      </c>
      <c r="D23" s="95">
        <f>'DOE25'!G24</f>
        <v>28.5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102728.09</v>
      </c>
      <c r="D27" s="95">
        <f>'DOE25'!G28</f>
        <v>0</v>
      </c>
      <c r="E27" s="95">
        <f>'DOE25'!H28</f>
        <v>0</v>
      </c>
      <c r="F27" s="95">
        <f>'DOE25'!I28</f>
        <v>0</v>
      </c>
      <c r="G27" s="24" t="s">
        <v>288</v>
      </c>
      <c r="H27" s="124"/>
      <c r="I27" s="124"/>
    </row>
    <row r="28" spans="1:9" x14ac:dyDescent="0.2">
      <c r="A28" s="1" t="s">
        <v>157</v>
      </c>
      <c r="B28" s="6">
        <v>470</v>
      </c>
      <c r="C28" s="95">
        <f>'DOE25'!F29</f>
        <v>66156.41</v>
      </c>
      <c r="D28" s="95">
        <f>'DOE25'!G29</f>
        <v>0</v>
      </c>
      <c r="E28" s="95">
        <f>'DOE25'!H29</f>
        <v>0</v>
      </c>
      <c r="F28" s="95">
        <f>'DOE25'!I29</f>
        <v>0</v>
      </c>
      <c r="G28" s="24" t="s">
        <v>288</v>
      </c>
      <c r="H28" s="124"/>
      <c r="I28" s="124"/>
    </row>
    <row r="29" spans="1:9" x14ac:dyDescent="0.2">
      <c r="A29" s="1" t="s">
        <v>158</v>
      </c>
      <c r="B29" s="6">
        <v>480</v>
      </c>
      <c r="C29" s="95">
        <f>'DOE25'!F30</f>
        <v>3192.97</v>
      </c>
      <c r="D29" s="95">
        <f>'DOE25'!G30</f>
        <v>16072.19</v>
      </c>
      <c r="E29" s="95">
        <f>'DOE25'!H30</f>
        <v>31720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174668.78</v>
      </c>
      <c r="H30" s="124"/>
      <c r="I30" s="124"/>
    </row>
    <row r="31" spans="1:9" ht="12" thickTop="1" x14ac:dyDescent="0.2">
      <c r="A31" s="38" t="s">
        <v>160</v>
      </c>
      <c r="B31" s="2"/>
      <c r="C31" s="41">
        <f>SUM(C21:C30)</f>
        <v>395081.47</v>
      </c>
      <c r="D31" s="41">
        <f>SUM(D21:D30)</f>
        <v>21501.31</v>
      </c>
      <c r="E31" s="41">
        <f>SUM(E21:E30)</f>
        <v>100842.69</v>
      </c>
      <c r="F31" s="41">
        <f>SUM(F21:F30)</f>
        <v>7283.96</v>
      </c>
      <c r="G31" s="41">
        <f>SUM(G21:G30)</f>
        <v>174668.78</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37937.47</v>
      </c>
      <c r="F47" s="95">
        <f>'DOE25'!I48</f>
        <v>800.17</v>
      </c>
      <c r="G47" s="95">
        <f>'DOE25'!J48</f>
        <v>660504.72</v>
      </c>
      <c r="H47" s="124"/>
      <c r="I47" s="124"/>
    </row>
    <row r="48" spans="1:9" x14ac:dyDescent="0.2">
      <c r="A48" s="1" t="s">
        <v>882</v>
      </c>
      <c r="B48" s="6">
        <v>753</v>
      </c>
      <c r="C48" s="95">
        <f>'DOE25'!F49</f>
        <v>32108.34</v>
      </c>
      <c r="D48" s="95">
        <f>'DOE25'!G49</f>
        <v>0</v>
      </c>
      <c r="E48" s="95">
        <f>'DOE25'!H49</f>
        <v>0</v>
      </c>
      <c r="F48" s="95">
        <f>'DOE25'!I49</f>
        <v>0</v>
      </c>
      <c r="G48" s="95">
        <f>'DOE25'!J49</f>
        <v>0</v>
      </c>
      <c r="H48" s="124"/>
      <c r="I48" s="124"/>
    </row>
    <row r="49" spans="1:9" ht="12" thickBot="1" x14ac:dyDescent="0.25">
      <c r="A49" s="29" t="s">
        <v>883</v>
      </c>
      <c r="B49" s="71">
        <v>770</v>
      </c>
      <c r="C49" s="95">
        <f>'DOE25'!F50</f>
        <v>1251193.7499999981</v>
      </c>
      <c r="D49" s="24" t="s">
        <v>288</v>
      </c>
      <c r="E49" s="24" t="s">
        <v>288</v>
      </c>
      <c r="F49" s="24" t="s">
        <v>288</v>
      </c>
      <c r="G49" s="24" t="s">
        <v>288</v>
      </c>
      <c r="H49" s="124"/>
      <c r="I49" s="124"/>
    </row>
    <row r="50" spans="1:9" ht="12.75" thickTop="1" thickBot="1" x14ac:dyDescent="0.25">
      <c r="A50" s="38" t="s">
        <v>884</v>
      </c>
      <c r="B50" s="48"/>
      <c r="C50" s="41">
        <f>SUM(C34:C49)</f>
        <v>1283302.0899999982</v>
      </c>
      <c r="D50" s="41">
        <f>SUM(D34:D49)</f>
        <v>0</v>
      </c>
      <c r="E50" s="41">
        <f>SUM(E34:E49)</f>
        <v>37937.47</v>
      </c>
      <c r="F50" s="41">
        <f>SUM(F34:F49)</f>
        <v>800.17</v>
      </c>
      <c r="G50" s="41">
        <f>SUM(G34:G49)</f>
        <v>660504.72</v>
      </c>
      <c r="H50" s="124"/>
      <c r="I50" s="124"/>
    </row>
    <row r="51" spans="1:9" ht="12" thickTop="1" x14ac:dyDescent="0.2">
      <c r="A51" s="38" t="s">
        <v>885</v>
      </c>
      <c r="B51" s="2"/>
      <c r="C51" s="41">
        <f>C50+C31</f>
        <v>1678383.5599999982</v>
      </c>
      <c r="D51" s="41">
        <f>D50+D31</f>
        <v>21501.31</v>
      </c>
      <c r="E51" s="41">
        <f>E50+E31</f>
        <v>138780.16</v>
      </c>
      <c r="F51" s="41">
        <f>F50+F31</f>
        <v>8084.13</v>
      </c>
      <c r="G51" s="41">
        <f>G50+G31</f>
        <v>835173.5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13361835</v>
      </c>
      <c r="D56" s="95">
        <f>'DOE25'!G60</f>
        <v>0</v>
      </c>
      <c r="E56" s="95">
        <f>'DOE25'!H60</f>
        <v>0</v>
      </c>
      <c r="F56" s="95">
        <f>'DOE25'!I60</f>
        <v>0</v>
      </c>
      <c r="G56" s="95">
        <f>'DOE25'!J60</f>
        <v>0</v>
      </c>
      <c r="H56"/>
      <c r="I56"/>
    </row>
    <row r="57" spans="1:9" x14ac:dyDescent="0.2">
      <c r="A57" s="1" t="s">
        <v>164</v>
      </c>
      <c r="B57" s="6" t="s">
        <v>165</v>
      </c>
      <c r="C57" s="95">
        <f>'DOE25'!F79</f>
        <v>77930.570000000007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26525.25</v>
      </c>
      <c r="D59" s="95">
        <f>'DOE25'!G96</f>
        <v>0</v>
      </c>
      <c r="E59" s="95">
        <f>'DOE25'!H96</f>
        <v>0</v>
      </c>
      <c r="F59" s="95">
        <f>'DOE25'!I96</f>
        <v>43.5</v>
      </c>
      <c r="G59" s="95">
        <f>'DOE25'!J96</f>
        <v>67516.84</v>
      </c>
      <c r="H59"/>
      <c r="I59"/>
    </row>
    <row r="60" spans="1:9" x14ac:dyDescent="0.2">
      <c r="A60" s="1" t="s">
        <v>170</v>
      </c>
      <c r="B60" s="118" t="s">
        <v>171</v>
      </c>
      <c r="C60" s="24" t="s">
        <v>288</v>
      </c>
      <c r="D60" s="95">
        <f>'DOE25'!G97</f>
        <v>336354.91</v>
      </c>
      <c r="E60" s="24" t="s">
        <v>288</v>
      </c>
      <c r="F60" s="24" t="s">
        <v>288</v>
      </c>
      <c r="G60" s="24" t="s">
        <v>288</v>
      </c>
      <c r="H60"/>
      <c r="I60"/>
    </row>
    <row r="61" spans="1:9" ht="12" thickBot="1" x14ac:dyDescent="0.25">
      <c r="A61" s="1" t="s">
        <v>172</v>
      </c>
      <c r="B61" s="118" t="s">
        <v>173</v>
      </c>
      <c r="C61" s="95">
        <f>SUM('DOE25'!F98:F110)</f>
        <v>170774.43</v>
      </c>
      <c r="D61" s="95">
        <f>SUM('DOE25'!G98:G110)</f>
        <v>1733.9299999999998</v>
      </c>
      <c r="E61" s="95">
        <f>SUM('DOE25'!H98:H110)</f>
        <v>34755.089999999997</v>
      </c>
      <c r="F61" s="95">
        <f>SUM('DOE25'!I98:I110)</f>
        <v>0</v>
      </c>
      <c r="G61" s="95">
        <f>SUM('DOE25'!J98:J110)</f>
        <v>5092.3100000000004</v>
      </c>
      <c r="H61"/>
      <c r="I61"/>
    </row>
    <row r="62" spans="1:9" ht="12.75" thickTop="1" thickBot="1" x14ac:dyDescent="0.25">
      <c r="A62" s="29" t="s">
        <v>174</v>
      </c>
      <c r="B62" s="6"/>
      <c r="C62" s="130">
        <f>SUM(C57:C61)</f>
        <v>275230.25</v>
      </c>
      <c r="D62" s="130">
        <f>SUM(D57:D61)</f>
        <v>338088.83999999997</v>
      </c>
      <c r="E62" s="130">
        <f>SUM(E57:E61)</f>
        <v>34755.089999999997</v>
      </c>
      <c r="F62" s="130">
        <f>SUM(F57:F61)</f>
        <v>43.5</v>
      </c>
      <c r="G62" s="130">
        <f>SUM(G57:G61)</f>
        <v>72609.149999999994</v>
      </c>
      <c r="H62"/>
      <c r="I62"/>
    </row>
    <row r="63" spans="1:9" ht="12" thickTop="1" x14ac:dyDescent="0.2">
      <c r="A63" s="29" t="s">
        <v>175</v>
      </c>
      <c r="B63" s="6"/>
      <c r="C63" s="22">
        <f>C56+C62</f>
        <v>13637065.25</v>
      </c>
      <c r="D63" s="22">
        <f>D56+D62</f>
        <v>338088.83999999997</v>
      </c>
      <c r="E63" s="22">
        <f>E56+E62</f>
        <v>34755.089999999997</v>
      </c>
      <c r="F63" s="22">
        <f>F56+F62</f>
        <v>43.5</v>
      </c>
      <c r="G63" s="22">
        <f>G56+G62</f>
        <v>72609.149999999994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1656068.88</v>
      </c>
      <c r="D66" s="24" t="s">
        <v>288</v>
      </c>
      <c r="E66" s="24" t="s">
        <v>288</v>
      </c>
      <c r="F66" s="24" t="s">
        <v>288</v>
      </c>
      <c r="G66" s="24" t="s">
        <v>288</v>
      </c>
      <c r="H66"/>
      <c r="I66"/>
    </row>
    <row r="67" spans="1:9" x14ac:dyDescent="0.2">
      <c r="A67" s="1" t="s">
        <v>770</v>
      </c>
      <c r="B67" s="6">
        <v>3112</v>
      </c>
      <c r="C67" s="95">
        <f>'DOE25'!F118</f>
        <v>1537621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3193689.88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199084.52</v>
      </c>
      <c r="D75" s="24" t="s">
        <v>288</v>
      </c>
      <c r="E75" s="24" t="s">
        <v>288</v>
      </c>
      <c r="F75" s="24" t="s">
        <v>288</v>
      </c>
      <c r="G75" s="24" t="s">
        <v>288</v>
      </c>
      <c r="H75"/>
      <c r="I75"/>
    </row>
    <row r="76" spans="1:9" x14ac:dyDescent="0.2">
      <c r="A76" s="1" t="s">
        <v>257</v>
      </c>
      <c r="B76" s="6" t="s">
        <v>179</v>
      </c>
      <c r="C76" s="95">
        <f>SUM('DOE25'!F127:F130)</f>
        <v>2026.8</v>
      </c>
      <c r="D76" s="24" t="s">
        <v>288</v>
      </c>
      <c r="E76" s="95">
        <f>SUM('DOE25'!H127:H130)</f>
        <v>0</v>
      </c>
      <c r="F76" s="95">
        <f>SUM('DOE25'!I127:I130)</f>
        <v>0</v>
      </c>
      <c r="G76" s="24" t="s">
        <v>288</v>
      </c>
      <c r="H76"/>
      <c r="I76"/>
    </row>
    <row r="77" spans="1:9" ht="12" thickBot="1" x14ac:dyDescent="0.25">
      <c r="A77" s="1" t="s">
        <v>258</v>
      </c>
      <c r="B77" s="6" t="s">
        <v>180</v>
      </c>
      <c r="C77" s="95">
        <f>SUM('DOE25'!F131:F135)</f>
        <v>160000</v>
      </c>
      <c r="D77" s="95">
        <f>SUM('DOE25'!G131:G135)</f>
        <v>757.12</v>
      </c>
      <c r="E77" s="95">
        <f>SUM('DOE25'!H131:H135)</f>
        <v>0</v>
      </c>
      <c r="F77" s="95">
        <f>SUM('DOE25'!I131:I135)</f>
        <v>0</v>
      </c>
      <c r="G77" s="95">
        <f>SUM('DOE25'!J131:J135)</f>
        <v>0</v>
      </c>
      <c r="H77"/>
      <c r="I77"/>
    </row>
    <row r="78" spans="1:9" ht="12.75" thickTop="1" thickBot="1" x14ac:dyDescent="0.25">
      <c r="A78" s="29" t="s">
        <v>259</v>
      </c>
      <c r="B78" s="6"/>
      <c r="C78" s="130">
        <f>SUM(C72:C77)</f>
        <v>361111.31999999995</v>
      </c>
      <c r="D78" s="130">
        <f>SUM(D72:D77)</f>
        <v>757.12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3554801.1999999997</v>
      </c>
      <c r="D81" s="130">
        <f>SUM(D79:D80)+D78+D70</f>
        <v>757.12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43081.38</v>
      </c>
      <c r="D88" s="95">
        <f>SUM('DOE25'!G153:G161)</f>
        <v>19493.599999999999</v>
      </c>
      <c r="E88" s="95">
        <f>SUM('DOE25'!H153:H161)</f>
        <v>257376.16999999998</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43081.38</v>
      </c>
      <c r="D91" s="131">
        <f>SUM(D85:D90)</f>
        <v>19493.599999999999</v>
      </c>
      <c r="E91" s="131">
        <f>SUM(E85:E90)</f>
        <v>257376.16999999998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64043.48</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64043.48</v>
      </c>
      <c r="E103" s="86">
        <f>SUM(E93:E102)</f>
        <v>0</v>
      </c>
      <c r="F103" s="86">
        <f>SUM(F93:F102)</f>
        <v>0</v>
      </c>
      <c r="G103" s="86">
        <f>SUM(G93:G102)</f>
        <v>0</v>
      </c>
    </row>
    <row r="104" spans="1:7" ht="12.75" thickTop="1" thickBot="1" x14ac:dyDescent="0.25">
      <c r="A104" s="33" t="s">
        <v>761</v>
      </c>
      <c r="C104" s="86">
        <f>C63+C81+C91+C103</f>
        <v>17234947.829999998</v>
      </c>
      <c r="D104" s="86">
        <f>D63+D81+D91+D103</f>
        <v>422383.03999999992</v>
      </c>
      <c r="E104" s="86">
        <f>E63+E81+E91+E103</f>
        <v>292131.26</v>
      </c>
      <c r="F104" s="86">
        <f>F63+F81+F91+F103</f>
        <v>43.5</v>
      </c>
      <c r="G104" s="86">
        <f>G63+G81+G103</f>
        <v>72609.149999999994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7157102.1399999997</v>
      </c>
      <c r="D109" s="24" t="s">
        <v>288</v>
      </c>
      <c r="E109" s="95">
        <f>('DOE25'!L276)+('DOE25'!L295)+('DOE25'!L314)</f>
        <v>1958.4699999999998</v>
      </c>
      <c r="F109" s="24" t="s">
        <v>288</v>
      </c>
      <c r="G109" s="24" t="s">
        <v>288</v>
      </c>
    </row>
    <row r="110" spans="1:7" x14ac:dyDescent="0.2">
      <c r="A110" t="s">
        <v>198</v>
      </c>
      <c r="B110" s="32" t="s">
        <v>199</v>
      </c>
      <c r="C110" s="95">
        <f>('DOE25'!L198)+('DOE25'!L216)+('DOE25'!L234)</f>
        <v>2245759.4300000002</v>
      </c>
      <c r="D110" s="24" t="s">
        <v>288</v>
      </c>
      <c r="E110" s="95">
        <f>('DOE25'!L277)+('DOE25'!L296)+('DOE25'!L315)</f>
        <v>208979.83000000002</v>
      </c>
      <c r="F110" s="24" t="s">
        <v>288</v>
      </c>
      <c r="G110" s="24" t="s">
        <v>288</v>
      </c>
    </row>
    <row r="111" spans="1:7" x14ac:dyDescent="0.2">
      <c r="A111" t="s">
        <v>200</v>
      </c>
      <c r="B111" s="32" t="s">
        <v>165</v>
      </c>
      <c r="C111" s="95">
        <f>('DOE25'!L199)+('DOE25'!L217)+('DOE25'!L235)</f>
        <v>18660.64</v>
      </c>
      <c r="D111" s="24" t="s">
        <v>288</v>
      </c>
      <c r="E111" s="95">
        <f>('DOE25'!L278)+('DOE25'!L297)+('DOE25'!L316)</f>
        <v>0</v>
      </c>
      <c r="F111" s="24" t="s">
        <v>288</v>
      </c>
      <c r="G111" s="24" t="s">
        <v>288</v>
      </c>
    </row>
    <row r="112" spans="1:7" x14ac:dyDescent="0.2">
      <c r="A112" t="s">
        <v>201</v>
      </c>
      <c r="B112" s="32" t="s">
        <v>167</v>
      </c>
      <c r="C112" s="95">
        <f>('DOE25'!L200)+('DOE25'!L218)+('DOE25'!L236)</f>
        <v>671578.83000000007</v>
      </c>
      <c r="D112" s="24" t="s">
        <v>288</v>
      </c>
      <c r="E112" s="95">
        <f>+('DOE25'!L279)+('DOE25'!L298)+('DOE25'!L317)</f>
        <v>24631.07</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10093101.040000001</v>
      </c>
      <c r="D115" s="86">
        <f>SUM(D109:D114)</f>
        <v>0</v>
      </c>
      <c r="E115" s="86">
        <f>SUM(E109:E114)</f>
        <v>235569.37000000002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1673205.55</v>
      </c>
      <c r="D118" s="24" t="s">
        <v>288</v>
      </c>
      <c r="E118" s="95">
        <f>+('DOE25'!L281)+('DOE25'!L300)+('DOE25'!L319)</f>
        <v>3259.97</v>
      </c>
      <c r="F118" s="24" t="s">
        <v>288</v>
      </c>
      <c r="G118" s="24" t="s">
        <v>288</v>
      </c>
    </row>
    <row r="119" spans="1:7" x14ac:dyDescent="0.2">
      <c r="A119" t="s">
        <v>208</v>
      </c>
      <c r="B119" s="32" t="s">
        <v>209</v>
      </c>
      <c r="C119" s="95">
        <f>('DOE25'!L203)+('DOE25'!L221)+('DOE25'!L239)</f>
        <v>576658.97</v>
      </c>
      <c r="D119" s="24" t="s">
        <v>288</v>
      </c>
      <c r="E119" s="95">
        <f>+('DOE25'!L282)+('DOE25'!L301)+('DOE25'!L320)</f>
        <v>29009.08</v>
      </c>
      <c r="F119" s="24" t="s">
        <v>288</v>
      </c>
      <c r="G119" s="24" t="s">
        <v>288</v>
      </c>
    </row>
    <row r="120" spans="1:7" x14ac:dyDescent="0.2">
      <c r="A120" t="s">
        <v>210</v>
      </c>
      <c r="B120" s="32" t="s">
        <v>211</v>
      </c>
      <c r="C120" s="95">
        <f>('DOE25'!L204)+('DOE25'!L222)+('DOE25'!L240)</f>
        <v>882277.09000000008</v>
      </c>
      <c r="D120" s="24" t="s">
        <v>288</v>
      </c>
      <c r="E120" s="95">
        <f>+('DOE25'!L283)+('DOE25'!L302)+('DOE25'!L321)</f>
        <v>0</v>
      </c>
      <c r="F120" s="24" t="s">
        <v>288</v>
      </c>
      <c r="G120" s="24" t="s">
        <v>288</v>
      </c>
    </row>
    <row r="121" spans="1:7" x14ac:dyDescent="0.2">
      <c r="A121" t="s">
        <v>212</v>
      </c>
      <c r="B121" s="32" t="s">
        <v>213</v>
      </c>
      <c r="C121" s="95">
        <f>('DOE25'!L205)+('DOE25'!L223)+('DOE25'!L241)</f>
        <v>824766.29000000015</v>
      </c>
      <c r="D121" s="24" t="s">
        <v>288</v>
      </c>
      <c r="E121" s="95">
        <f>+('DOE25'!L284)+('DOE25'!L303)+('DOE25'!L322)</f>
        <v>0</v>
      </c>
      <c r="F121" s="24" t="s">
        <v>288</v>
      </c>
      <c r="G121" s="24" t="s">
        <v>288</v>
      </c>
    </row>
    <row r="122" spans="1:7" x14ac:dyDescent="0.2">
      <c r="A122" t="s">
        <v>214</v>
      </c>
      <c r="B122" s="32" t="s">
        <v>215</v>
      </c>
      <c r="C122" s="95">
        <f>('DOE25'!L206)+('DOE25'!L224)+('DOE25'!L242)</f>
        <v>2243.5500000000002</v>
      </c>
      <c r="D122" s="24" t="s">
        <v>288</v>
      </c>
      <c r="E122" s="95">
        <f>+('DOE25'!L285)+('DOE25'!L304)+('DOE25'!L323)</f>
        <v>0</v>
      </c>
      <c r="F122" s="24" t="s">
        <v>288</v>
      </c>
      <c r="G122" s="24" t="s">
        <v>288</v>
      </c>
    </row>
    <row r="123" spans="1:7" x14ac:dyDescent="0.2">
      <c r="A123" t="s">
        <v>216</v>
      </c>
      <c r="B123" s="32" t="s">
        <v>217</v>
      </c>
      <c r="C123" s="95">
        <f>('DOE25'!L207)+('DOE25'!L225)+('DOE25'!L243)</f>
        <v>1255121.05</v>
      </c>
      <c r="D123" s="24" t="s">
        <v>288</v>
      </c>
      <c r="E123" s="95">
        <f>+('DOE25'!L286)+('DOE25'!L305)+('DOE25'!L324)</f>
        <v>0</v>
      </c>
      <c r="F123" s="24" t="s">
        <v>288</v>
      </c>
      <c r="G123" s="24" t="s">
        <v>288</v>
      </c>
    </row>
    <row r="124" spans="1:7" x14ac:dyDescent="0.2">
      <c r="A124" t="s">
        <v>218</v>
      </c>
      <c r="B124" s="32" t="s">
        <v>219</v>
      </c>
      <c r="C124" s="95">
        <f>('DOE25'!L208)+('DOE25'!L226)+('DOE25'!L244+'DOE25'!L254)</f>
        <v>577857.01</v>
      </c>
      <c r="D124" s="24" t="s">
        <v>288</v>
      </c>
      <c r="E124" s="95">
        <f>+('DOE25'!L287)+('DOE25'!L306)+('DOE25'!L325)</f>
        <v>0</v>
      </c>
      <c r="F124" s="24" t="s">
        <v>288</v>
      </c>
      <c r="G124" s="24" t="s">
        <v>288</v>
      </c>
    </row>
    <row r="125" spans="1:7" x14ac:dyDescent="0.2">
      <c r="A125" t="s">
        <v>220</v>
      </c>
      <c r="B125" s="32" t="s">
        <v>221</v>
      </c>
      <c r="C125" s="95">
        <f>('DOE25'!L209)+('DOE25'!L227)+('DOE25'!L245)</f>
        <v>419408.44999999995</v>
      </c>
      <c r="D125" s="24" t="s">
        <v>288</v>
      </c>
      <c r="E125" s="95">
        <f>+('DOE25'!L288)+('DOE25'!L307)+('DOE25'!L326)</f>
        <v>7770.09</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422383.04000000004</v>
      </c>
      <c r="E127" s="24" t="s">
        <v>288</v>
      </c>
      <c r="F127" s="24" t="s">
        <v>288</v>
      </c>
      <c r="G127" s="24" t="s">
        <v>288</v>
      </c>
    </row>
    <row r="128" spans="1:7" ht="12.75" thickTop="1" thickBot="1" x14ac:dyDescent="0.25">
      <c r="A128" s="33" t="s">
        <v>226</v>
      </c>
      <c r="C128" s="86">
        <f>SUM(C118:C127)</f>
        <v>6211537.96</v>
      </c>
      <c r="D128" s="86">
        <f>SUM(D118:D127)</f>
        <v>422383.04000000004</v>
      </c>
      <c r="E128" s="86">
        <f>SUM(E118:E127)</f>
        <v>40039.14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80000</v>
      </c>
      <c r="D130" s="24" t="s">
        <v>288</v>
      </c>
      <c r="E130" s="129">
        <f>'DOE25'!L336</f>
        <v>0</v>
      </c>
      <c r="F130" s="129">
        <f>SUM('DOE25'!L374:'DOE25'!L380)</f>
        <v>0</v>
      </c>
      <c r="G130" s="24" t="s">
        <v>288</v>
      </c>
    </row>
    <row r="131" spans="1:7" x14ac:dyDescent="0.2">
      <c r="A131" t="s">
        <v>229</v>
      </c>
      <c r="B131" s="32">
        <v>5110</v>
      </c>
      <c r="C131" s="95">
        <f>'DOE25'!L260</f>
        <v>155000</v>
      </c>
      <c r="D131" s="24" t="s">
        <v>288</v>
      </c>
      <c r="E131" s="129">
        <f>'DOE25'!L341</f>
        <v>0</v>
      </c>
      <c r="F131" s="24" t="s">
        <v>288</v>
      </c>
      <c r="G131" s="24" t="s">
        <v>288</v>
      </c>
    </row>
    <row r="132" spans="1:7" x14ac:dyDescent="0.2">
      <c r="A132" t="s">
        <v>230</v>
      </c>
      <c r="B132" s="32">
        <v>5120</v>
      </c>
      <c r="C132" s="95">
        <f>'DOE25'!L261</f>
        <v>20537.5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64043.48</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67516.84</v>
      </c>
      <c r="D139" s="24" t="s">
        <v>288</v>
      </c>
      <c r="E139" s="24" t="s">
        <v>288</v>
      </c>
      <c r="F139" s="24" t="s">
        <v>288</v>
      </c>
      <c r="G139" s="24" t="s">
        <v>288</v>
      </c>
    </row>
    <row r="140" spans="1:7" x14ac:dyDescent="0.2">
      <c r="A140" t="s">
        <v>240</v>
      </c>
      <c r="B140" s="32">
        <v>5253</v>
      </c>
      <c r="C140" s="95">
        <f>'DOE25'!L407</f>
        <v>5092.3099999999995</v>
      </c>
      <c r="D140" s="24" t="s">
        <v>288</v>
      </c>
      <c r="E140" s="24" t="s">
        <v>288</v>
      </c>
      <c r="F140" s="24" t="s">
        <v>288</v>
      </c>
      <c r="G140" s="24" t="s">
        <v>288</v>
      </c>
    </row>
    <row r="141" spans="1:7" x14ac:dyDescent="0.2">
      <c r="A141" t="s">
        <v>762</v>
      </c>
      <c r="B141" s="32">
        <v>5254</v>
      </c>
      <c r="C141" s="95">
        <f>('DOE25'!L266+'DOE25'!K347) - (C138+C139+C140)</f>
        <v>-72609.149999999994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319580.98</v>
      </c>
      <c r="D144" s="141">
        <f>SUM(D130:D143)</f>
        <v>0</v>
      </c>
      <c r="E144" s="141">
        <f>SUM(E130:E143)</f>
        <v>0</v>
      </c>
      <c r="F144" s="141">
        <f>SUM(F130:F143)</f>
        <v>0</v>
      </c>
      <c r="G144" s="141">
        <f>SUM(G130:G143)</f>
        <v>0</v>
      </c>
    </row>
    <row r="145" spans="1:9" ht="12.75" thickTop="1" thickBot="1" x14ac:dyDescent="0.25">
      <c r="A145" s="33" t="s">
        <v>244</v>
      </c>
      <c r="C145" s="86">
        <f>(C115+C128+C144)</f>
        <v>16624219.98</v>
      </c>
      <c r="D145" s="86">
        <f>(D115+D128+D144)</f>
        <v>422383.04000000004</v>
      </c>
      <c r="E145" s="86">
        <f>(E115+E128+E144)</f>
        <v>275608.51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7</v>
      </c>
      <c r="C151" s="153">
        <f>'DOE25'!G490</f>
        <v>0</v>
      </c>
      <c r="D151" s="153">
        <f>'DOE25'!H490</f>
        <v>0</v>
      </c>
      <c r="E151" s="153">
        <f>'DOE25'!I490</f>
        <v>0</v>
      </c>
      <c r="F151" s="153">
        <f>'DOE25'!J490</f>
        <v>0</v>
      </c>
      <c r="G151" s="24" t="s">
        <v>288</v>
      </c>
    </row>
    <row r="152" spans="1:9" x14ac:dyDescent="0.2">
      <c r="A152" s="136" t="s">
        <v>28</v>
      </c>
      <c r="B152" s="152" t="str">
        <f>'DOE25'!F491</f>
        <v>07/13</v>
      </c>
      <c r="C152" s="152">
        <f>'DOE25'!G491</f>
        <v>0</v>
      </c>
      <c r="D152" s="152">
        <f>'DOE25'!H491</f>
        <v>0</v>
      </c>
      <c r="E152" s="152">
        <f>'DOE25'!I491</f>
        <v>0</v>
      </c>
      <c r="F152" s="152">
        <f>'DOE25'!J491</f>
        <v>0</v>
      </c>
      <c r="G152" s="24" t="s">
        <v>288</v>
      </c>
    </row>
    <row r="153" spans="1:9" x14ac:dyDescent="0.2">
      <c r="A153" s="136" t="s">
        <v>29</v>
      </c>
      <c r="B153" s="152" t="str">
        <f>'DOE25'!F492</f>
        <v>08/20</v>
      </c>
      <c r="C153" s="152">
        <f>'DOE25'!G492</f>
        <v>0</v>
      </c>
      <c r="D153" s="152">
        <f>'DOE25'!H492</f>
        <v>0</v>
      </c>
      <c r="E153" s="152">
        <f>'DOE25'!I492</f>
        <v>0</v>
      </c>
      <c r="F153" s="152">
        <f>'DOE25'!J492</f>
        <v>0</v>
      </c>
      <c r="G153" s="24" t="s">
        <v>288</v>
      </c>
    </row>
    <row r="154" spans="1:9" x14ac:dyDescent="0.2">
      <c r="A154" s="136" t="s">
        <v>30</v>
      </c>
      <c r="B154" s="137">
        <f>'DOE25'!F493</f>
        <v>1090000</v>
      </c>
      <c r="C154" s="137">
        <f>'DOE25'!G493</f>
        <v>0</v>
      </c>
      <c r="D154" s="137">
        <f>'DOE25'!H493</f>
        <v>0</v>
      </c>
      <c r="E154" s="137">
        <f>'DOE25'!I493</f>
        <v>0</v>
      </c>
      <c r="F154" s="137">
        <f>'DOE25'!J493</f>
        <v>0</v>
      </c>
      <c r="G154" s="24" t="s">
        <v>288</v>
      </c>
    </row>
    <row r="155" spans="1:9" x14ac:dyDescent="0.2">
      <c r="A155" s="136" t="s">
        <v>31</v>
      </c>
      <c r="B155" s="137">
        <f>'DOE25'!F494</f>
        <v>2.14</v>
      </c>
      <c r="C155" s="137">
        <f>'DOE25'!G494</f>
        <v>0</v>
      </c>
      <c r="D155" s="137">
        <f>'DOE25'!H494</f>
        <v>0</v>
      </c>
      <c r="E155" s="137">
        <f>'DOE25'!I494</f>
        <v>0</v>
      </c>
      <c r="F155" s="137">
        <f>'DOE25'!J494</f>
        <v>0</v>
      </c>
      <c r="G155" s="24" t="s">
        <v>288</v>
      </c>
    </row>
    <row r="156" spans="1:9" x14ac:dyDescent="0.2">
      <c r="A156" s="22" t="s">
        <v>32</v>
      </c>
      <c r="B156" s="137">
        <f>'DOE25'!F495</f>
        <v>465000</v>
      </c>
      <c r="C156" s="137">
        <f>'DOE25'!G495</f>
        <v>0</v>
      </c>
      <c r="D156" s="137">
        <f>'DOE25'!H495</f>
        <v>0</v>
      </c>
      <c r="E156" s="137">
        <f>'DOE25'!I495</f>
        <v>0</v>
      </c>
      <c r="F156" s="137">
        <f>'DOE25'!J495</f>
        <v>0</v>
      </c>
      <c r="G156" s="138">
        <f>SUM(B156:F156)</f>
        <v>465000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155000</v>
      </c>
      <c r="C158" s="137">
        <f>'DOE25'!G497</f>
        <v>0</v>
      </c>
      <c r="D158" s="137">
        <f>'DOE25'!H497</f>
        <v>0</v>
      </c>
      <c r="E158" s="137">
        <f>'DOE25'!I497</f>
        <v>0</v>
      </c>
      <c r="F158" s="137">
        <f>'DOE25'!J497</f>
        <v>0</v>
      </c>
      <c r="G158" s="138">
        <f t="shared" si="0"/>
        <v>155000</v>
      </c>
    </row>
    <row r="159" spans="1:9" x14ac:dyDescent="0.2">
      <c r="A159" s="22" t="s">
        <v>35</v>
      </c>
      <c r="B159" s="137">
        <f>'DOE25'!F498</f>
        <v>310000</v>
      </c>
      <c r="C159" s="137">
        <f>'DOE25'!G498</f>
        <v>0</v>
      </c>
      <c r="D159" s="137">
        <f>'DOE25'!H498</f>
        <v>0</v>
      </c>
      <c r="E159" s="137">
        <f>'DOE25'!I498</f>
        <v>0</v>
      </c>
      <c r="F159" s="137">
        <f>'DOE25'!J498</f>
        <v>0</v>
      </c>
      <c r="G159" s="138">
        <f t="shared" si="0"/>
        <v>310000</v>
      </c>
    </row>
    <row r="160" spans="1:9" x14ac:dyDescent="0.2">
      <c r="A160" s="22" t="s">
        <v>36</v>
      </c>
      <c r="B160" s="137">
        <f>'DOE25'!F499</f>
        <v>16391.25</v>
      </c>
      <c r="C160" s="137">
        <f>'DOE25'!G499</f>
        <v>0</v>
      </c>
      <c r="D160" s="137">
        <f>'DOE25'!H499</f>
        <v>0</v>
      </c>
      <c r="E160" s="137">
        <f>'DOE25'!I499</f>
        <v>0</v>
      </c>
      <c r="F160" s="137">
        <f>'DOE25'!J499</f>
        <v>0</v>
      </c>
      <c r="G160" s="138">
        <f t="shared" si="0"/>
        <v>16391.25</v>
      </c>
    </row>
    <row r="161" spans="1:7" x14ac:dyDescent="0.2">
      <c r="A161" s="22" t="s">
        <v>37</v>
      </c>
      <c r="B161" s="137">
        <f>'DOE25'!F500</f>
        <v>326391.25</v>
      </c>
      <c r="C161" s="137">
        <f>'DOE25'!G500</f>
        <v>0</v>
      </c>
      <c r="D161" s="137">
        <f>'DOE25'!H500</f>
        <v>0</v>
      </c>
      <c r="E161" s="137">
        <f>'DOE25'!I500</f>
        <v>0</v>
      </c>
      <c r="F161" s="137">
        <f>'DOE25'!J500</f>
        <v>0</v>
      </c>
      <c r="G161" s="138">
        <f t="shared" si="0"/>
        <v>326391.25</v>
      </c>
    </row>
    <row r="162" spans="1:7" x14ac:dyDescent="0.2">
      <c r="A162" s="22" t="s">
        <v>38</v>
      </c>
      <c r="B162" s="137">
        <f>'DOE25'!F501</f>
        <v>155000</v>
      </c>
      <c r="C162" s="137">
        <f>'DOE25'!G501</f>
        <v>0</v>
      </c>
      <c r="D162" s="137">
        <f>'DOE25'!H501</f>
        <v>0</v>
      </c>
      <c r="E162" s="137">
        <f>'DOE25'!I501</f>
        <v>0</v>
      </c>
      <c r="F162" s="137">
        <f>'DOE25'!J501</f>
        <v>0</v>
      </c>
      <c r="G162" s="138">
        <f t="shared" si="0"/>
        <v>155000</v>
      </c>
    </row>
    <row r="163" spans="1:7" x14ac:dyDescent="0.2">
      <c r="A163" s="22" t="s">
        <v>39</v>
      </c>
      <c r="B163" s="137">
        <f>'DOE25'!F502</f>
        <v>12245</v>
      </c>
      <c r="C163" s="137">
        <f>'DOE25'!G502</f>
        <v>0</v>
      </c>
      <c r="D163" s="137">
        <f>'DOE25'!H502</f>
        <v>0</v>
      </c>
      <c r="E163" s="137">
        <f>'DOE25'!I502</f>
        <v>0</v>
      </c>
      <c r="F163" s="137">
        <f>'DOE25'!J502</f>
        <v>0</v>
      </c>
      <c r="G163" s="138">
        <f t="shared" si="0"/>
        <v>12245</v>
      </c>
    </row>
    <row r="164" spans="1:7" x14ac:dyDescent="0.2">
      <c r="A164" s="22" t="s">
        <v>246</v>
      </c>
      <c r="B164" s="137">
        <f>'DOE25'!F503</f>
        <v>167245</v>
      </c>
      <c r="C164" s="137">
        <f>'DOE25'!G503</f>
        <v>0</v>
      </c>
      <c r="D164" s="137">
        <f>'DOE25'!H503</f>
        <v>0</v>
      </c>
      <c r="E164" s="137">
        <f>'DOE25'!I503</f>
        <v>0</v>
      </c>
      <c r="F164" s="137">
        <f>'DOE25'!J503</f>
        <v>0</v>
      </c>
      <c r="G164" s="138">
        <f t="shared" si="0"/>
        <v>167245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Souhegan Cooperative School District</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20849</v>
      </c>
    </row>
    <row r="7" spans="1:4" x14ac:dyDescent="0.2">
      <c r="B7" t="s">
        <v>701</v>
      </c>
      <c r="C7" s="179">
        <f>IF('DOE25'!I665+'DOE25'!I670=0,0,ROUND('DOE25'!I672,0))</f>
        <v>20849</v>
      </c>
    </row>
    <row r="9" spans="1:4" x14ac:dyDescent="0.2">
      <c r="A9" s="187" t="s">
        <v>94</v>
      </c>
      <c r="B9" s="188" t="s">
        <v>1603</v>
      </c>
      <c r="C9" s="181" t="s">
        <v>720</v>
      </c>
      <c r="D9" s="181" t="s">
        <v>721</v>
      </c>
    </row>
    <row r="10" spans="1:4" x14ac:dyDescent="0.2">
      <c r="A10">
        <v>1100</v>
      </c>
      <c r="B10" t="s">
        <v>702</v>
      </c>
      <c r="C10" s="179">
        <f>ROUND('DOE25'!L197+'DOE25'!L215+'DOE25'!L233+'DOE25'!L276+'DOE25'!L295+'DOE25'!L314,0)</f>
        <v>7159061</v>
      </c>
      <c r="D10" s="182">
        <f>ROUND((C10/$C$28)*100,1)</f>
        <v>42.9</v>
      </c>
    </row>
    <row r="11" spans="1:4" x14ac:dyDescent="0.2">
      <c r="A11">
        <v>1200</v>
      </c>
      <c r="B11" t="s">
        <v>703</v>
      </c>
      <c r="C11" s="179">
        <f>ROUND('DOE25'!L198+'DOE25'!L216+'DOE25'!L234+'DOE25'!L277+'DOE25'!L296+'DOE25'!L315,0)</f>
        <v>2454739</v>
      </c>
      <c r="D11" s="182">
        <f>ROUND((C11/$C$28)*100,1)</f>
        <v>14.7</v>
      </c>
    </row>
    <row r="12" spans="1:4" x14ac:dyDescent="0.2">
      <c r="A12">
        <v>1300</v>
      </c>
      <c r="B12" t="s">
        <v>704</v>
      </c>
      <c r="C12" s="179">
        <f>ROUND('DOE25'!L199+'DOE25'!L217+'DOE25'!L235+'DOE25'!L278+'DOE25'!L297+'DOE25'!L316,0)</f>
        <v>18661</v>
      </c>
      <c r="D12" s="182">
        <f>ROUND((C12/$C$28)*100,1)</f>
        <v>0.1</v>
      </c>
    </row>
    <row r="13" spans="1:4" x14ac:dyDescent="0.2">
      <c r="A13">
        <v>1400</v>
      </c>
      <c r="B13" t="s">
        <v>705</v>
      </c>
      <c r="C13" s="179">
        <f>ROUND('DOE25'!L200+'DOE25'!L218+'DOE25'!L236+'DOE25'!L279+'DOE25'!L298+'DOE25'!L317,0)</f>
        <v>696210</v>
      </c>
      <c r="D13" s="182">
        <f>ROUND((C13/$C$28)*100,1)</f>
        <v>4.2</v>
      </c>
    </row>
    <row r="14" spans="1:4" x14ac:dyDescent="0.2">
      <c r="D14" s="182"/>
    </row>
    <row r="15" spans="1:4" x14ac:dyDescent="0.2">
      <c r="A15">
        <v>2100</v>
      </c>
      <c r="B15" t="s">
        <v>706</v>
      </c>
      <c r="C15" s="179">
        <f>ROUND('DOE25'!L202+'DOE25'!L220+'DOE25'!L238+'DOE25'!L281+'DOE25'!L300+'DOE25'!L319,0)</f>
        <v>1676466</v>
      </c>
      <c r="D15" s="182">
        <f t="shared" ref="D15:D27" si="0">ROUND((C15/$C$28)*100,1)</f>
        <v>10</v>
      </c>
    </row>
    <row r="16" spans="1:4" x14ac:dyDescent="0.2">
      <c r="A16">
        <v>2200</v>
      </c>
      <c r="B16" t="s">
        <v>707</v>
      </c>
      <c r="C16" s="179">
        <f>ROUND('DOE25'!L203+'DOE25'!L221+'DOE25'!L239+'DOE25'!L282+'DOE25'!L301+'DOE25'!L320,0)</f>
        <v>605668</v>
      </c>
      <c r="D16" s="182">
        <f t="shared" si="0"/>
        <v>3.6</v>
      </c>
    </row>
    <row r="17" spans="1:4" x14ac:dyDescent="0.2">
      <c r="A17" s="183" t="s">
        <v>723</v>
      </c>
      <c r="B17" t="s">
        <v>738</v>
      </c>
      <c r="C17" s="179">
        <f>ROUND('DOE25'!L204+'DOE25'!L209+'DOE25'!L222+'DOE25'!L227+'DOE25'!L240+'DOE25'!L245+'DOE25'!L283+'DOE25'!L288+'DOE25'!L302+'DOE25'!L307+'DOE25'!L321+'DOE25'!L326,0)</f>
        <v>1309456</v>
      </c>
      <c r="D17" s="182">
        <f t="shared" si="0"/>
        <v>7.8</v>
      </c>
    </row>
    <row r="18" spans="1:4" x14ac:dyDescent="0.2">
      <c r="A18">
        <v>2400</v>
      </c>
      <c r="B18" t="s">
        <v>711</v>
      </c>
      <c r="C18" s="179">
        <f>ROUND('DOE25'!L205+'DOE25'!L223+'DOE25'!L241+'DOE25'!L284+'DOE25'!L303+'DOE25'!L322,0)</f>
        <v>824766</v>
      </c>
      <c r="D18" s="182">
        <f t="shared" si="0"/>
        <v>4.9000000000000004</v>
      </c>
    </row>
    <row r="19" spans="1:4" x14ac:dyDescent="0.2">
      <c r="A19">
        <v>2500</v>
      </c>
      <c r="B19" t="s">
        <v>708</v>
      </c>
      <c r="C19" s="179">
        <f>ROUND('DOE25'!L206+'DOE25'!L224+'DOE25'!L242+'DOE25'!L285+'DOE25'!L304+'DOE25'!L323,0)</f>
        <v>2244</v>
      </c>
      <c r="D19" s="182">
        <f t="shared" si="0"/>
        <v>0</v>
      </c>
    </row>
    <row r="20" spans="1:4" x14ac:dyDescent="0.2">
      <c r="A20">
        <v>2600</v>
      </c>
      <c r="B20" t="s">
        <v>709</v>
      </c>
      <c r="C20" s="179">
        <f>ROUND('DOE25'!L207+'DOE25'!L225+'DOE25'!L243+'DOE25'!L286+'DOE25'!L305+'DOE25'!L324,0)</f>
        <v>1255121</v>
      </c>
      <c r="D20" s="182">
        <f t="shared" si="0"/>
        <v>7.5</v>
      </c>
    </row>
    <row r="21" spans="1:4" x14ac:dyDescent="0.2">
      <c r="A21">
        <v>2700</v>
      </c>
      <c r="B21" t="s">
        <v>710</v>
      </c>
      <c r="C21" s="179">
        <f>ROUND('DOE25'!L208+'DOE25'!L226+'DOE25'!L244+'DOE25'!L287+'DOE25'!L306+'DOE25'!L325,0)</f>
        <v>577857</v>
      </c>
      <c r="D21" s="182">
        <f t="shared" si="0"/>
        <v>3.5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20538</v>
      </c>
      <c r="D25" s="182">
        <f t="shared" si="0"/>
        <v>0.1</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84294.160000000033</v>
      </c>
      <c r="D27" s="182">
        <f t="shared" si="0"/>
        <v>0.5</v>
      </c>
    </row>
    <row r="28" spans="1:4" x14ac:dyDescent="0.2">
      <c r="B28" s="187" t="s">
        <v>719</v>
      </c>
      <c r="C28" s="180">
        <f>SUM(C10:C27)</f>
        <v>16685081.16</v>
      </c>
      <c r="D28" s="184">
        <f>ROUND(SUM(D10:D27),0)</f>
        <v>100</v>
      </c>
    </row>
    <row r="29" spans="1:4" x14ac:dyDescent="0.2">
      <c r="A29">
        <v>4000</v>
      </c>
      <c r="B29" t="s">
        <v>724</v>
      </c>
      <c r="C29" s="179">
        <f>ROUND('DOE25'!L255+'DOE25'!L336+'DOE25'!L374+'DOE25'!L375+'DOE25'!L376+'DOE25'!L377+'DOE25'!L378+'DOE25'!L379+'DOE25'!L380,0)</f>
        <v>80000</v>
      </c>
    </row>
    <row r="30" spans="1:4" x14ac:dyDescent="0.2">
      <c r="B30" s="187" t="s">
        <v>725</v>
      </c>
      <c r="C30" s="180">
        <f>SUM(C28:C29)</f>
        <v>16765081.16</v>
      </c>
    </row>
    <row r="31" spans="1:4" x14ac:dyDescent="0.2">
      <c r="B31" s="33"/>
      <c r="C31" s="180"/>
    </row>
    <row r="32" spans="1:4" x14ac:dyDescent="0.2">
      <c r="A32">
        <v>5100</v>
      </c>
      <c r="B32" s="33" t="s">
        <v>726</v>
      </c>
      <c r="C32" s="180">
        <f>ROUND('DOE25'!L260+'DOE25'!L341,0)</f>
        <v>155000</v>
      </c>
    </row>
    <row r="34" spans="1:4" x14ac:dyDescent="0.2">
      <c r="A34" s="187" t="s">
        <v>94</v>
      </c>
      <c r="B34" s="188" t="s">
        <v>1604</v>
      </c>
      <c r="C34" s="181" t="s">
        <v>720</v>
      </c>
      <c r="D34" s="181" t="s">
        <v>721</v>
      </c>
    </row>
    <row r="35" spans="1:4" x14ac:dyDescent="0.2">
      <c r="A35">
        <v>1100</v>
      </c>
      <c r="B35" s="185" t="s">
        <v>727</v>
      </c>
      <c r="C35" s="179">
        <f>ROUND('DOE25'!F60+'DOE25'!G60+'DOE25'!H60+'DOE25'!I60+'DOE25'!J60,0)</f>
        <v>13361835</v>
      </c>
      <c r="D35" s="182">
        <f t="shared" ref="D35:D40" si="1">ROUND((C35/$C$41)*100,1)</f>
        <v>75.8</v>
      </c>
    </row>
    <row r="36" spans="1:4" x14ac:dyDescent="0.2">
      <c r="B36" s="185" t="s">
        <v>739</v>
      </c>
      <c r="C36" s="179">
        <f>SUM('DOE25'!F112:J112)-SUM('DOE25'!G97:G110)+('DOE25'!F174+'DOE25'!F175+'DOE25'!I174+'DOE25'!I175)-C35</f>
        <v>382637.99000000022</v>
      </c>
      <c r="D36" s="182">
        <f t="shared" si="1"/>
        <v>2.2000000000000002</v>
      </c>
    </row>
    <row r="37" spans="1:4" x14ac:dyDescent="0.2">
      <c r="A37" s="183" t="s">
        <v>835</v>
      </c>
      <c r="B37" s="185" t="s">
        <v>728</v>
      </c>
      <c r="C37" s="179">
        <f>ROUND('DOE25'!F117+'DOE25'!F118,0)</f>
        <v>3193690</v>
      </c>
      <c r="D37" s="182">
        <f t="shared" si="1"/>
        <v>18.100000000000001</v>
      </c>
    </row>
    <row r="38" spans="1:4" x14ac:dyDescent="0.2">
      <c r="A38" s="183" t="s">
        <v>734</v>
      </c>
      <c r="B38" s="185" t="s">
        <v>729</v>
      </c>
      <c r="C38" s="179">
        <f>ROUND(SUM('DOE25'!F140:J140)-SUM('DOE25'!F117:F119),0)</f>
        <v>361868</v>
      </c>
      <c r="D38" s="182">
        <f t="shared" si="1"/>
        <v>2.1</v>
      </c>
    </row>
    <row r="39" spans="1:4" x14ac:dyDescent="0.2">
      <c r="A39">
        <v>4000</v>
      </c>
      <c r="B39" s="185" t="s">
        <v>730</v>
      </c>
      <c r="C39" s="179">
        <f>ROUND('DOE25'!F169+'DOE25'!G169+'DOE25'!H169+'DOE25'!I169,0)</f>
        <v>319951</v>
      </c>
      <c r="D39" s="182">
        <f t="shared" si="1"/>
        <v>1.8</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17619981.990000002</v>
      </c>
      <c r="D41" s="184">
        <f>SUM(D35:D40)</f>
        <v>99.999999999999986</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26" sqref="C26:M26"/>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Souhegan Cooperative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v>19</v>
      </c>
      <c r="B4" s="219">
        <v>3</v>
      </c>
      <c r="C4" s="332" t="s">
        <v>1614</v>
      </c>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t="s">
        <v>1615</v>
      </c>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t="s">
        <v>1618</v>
      </c>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t="s">
        <v>1616</v>
      </c>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t="s">
        <v>1617</v>
      </c>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t="s">
        <v>1619</v>
      </c>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t="s">
        <v>1624</v>
      </c>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t="s">
        <v>1625</v>
      </c>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t="s">
        <v>1626</v>
      </c>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v>19</v>
      </c>
      <c r="B18" s="219">
        <v>6</v>
      </c>
      <c r="C18" s="332" t="s">
        <v>1614</v>
      </c>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t="s">
        <v>1620</v>
      </c>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t="s">
        <v>1621</v>
      </c>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t="s">
        <v>1622</v>
      </c>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t="s">
        <v>1623</v>
      </c>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2019-08-26T14:42:09Z</cp:lastPrinted>
  <dcterms:created xsi:type="dcterms:W3CDTF">1997-12-04T19:04:30Z</dcterms:created>
  <dcterms:modified xsi:type="dcterms:W3CDTF">2019-11-22T16:09:49Z</dcterms:modified>
</cp:coreProperties>
</file>