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H528" i="1"/>
  <c r="H526" i="1"/>
  <c r="B20" i="12" l="1"/>
  <c r="H591" i="1"/>
  <c r="G48" i="1"/>
  <c r="G24" i="1"/>
  <c r="G611" i="1"/>
  <c r="F611" i="1"/>
  <c r="F29" i="13"/>
  <c r="H358" i="1"/>
  <c r="H281" i="1"/>
  <c r="H282" i="1"/>
  <c r="H244" i="1"/>
  <c r="H240" i="1"/>
  <c r="H208" i="1"/>
  <c r="H207" i="1"/>
  <c r="H205" i="1"/>
  <c r="H204" i="1"/>
  <c r="K203" i="1"/>
  <c r="H202" i="1"/>
  <c r="H197" i="1"/>
  <c r="H135" i="1" l="1"/>
  <c r="H110" i="1"/>
  <c r="H155" i="1"/>
  <c r="H154" i="1"/>
  <c r="F46" i="1"/>
  <c r="F29" i="1"/>
  <c r="F9" i="1"/>
  <c r="H400"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C11" i="10" s="1"/>
  <c r="L199" i="1"/>
  <c r="C12" i="10" s="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H647" i="1" s="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E121" i="2" s="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L255" i="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H169" i="1" s="1"/>
  <c r="I147" i="1"/>
  <c r="I162" i="1"/>
  <c r="L250" i="1"/>
  <c r="C113" i="2" s="1"/>
  <c r="L332" i="1"/>
  <c r="L254" i="1"/>
  <c r="L268" i="1"/>
  <c r="L269" i="1"/>
  <c r="C143" i="2" s="1"/>
  <c r="L349" i="1"/>
  <c r="L350" i="1"/>
  <c r="I665" i="1"/>
  <c r="I670" i="1"/>
  <c r="G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L532" i="1"/>
  <c r="H550" i="1" s="1"/>
  <c r="H552" i="1" s="1"/>
  <c r="L533" i="1"/>
  <c r="H551" i="1" s="1"/>
  <c r="L536" i="1"/>
  <c r="I549" i="1" s="1"/>
  <c r="L537" i="1"/>
  <c r="I550" i="1" s="1"/>
  <c r="I552" i="1" s="1"/>
  <c r="L538" i="1"/>
  <c r="I551" i="1" s="1"/>
  <c r="L541" i="1"/>
  <c r="J549" i="1" s="1"/>
  <c r="L542" i="1"/>
  <c r="J550" i="1" s="1"/>
  <c r="L543" i="1"/>
  <c r="J551" i="1" s="1"/>
  <c r="E132" i="2"/>
  <c r="E131" i="2"/>
  <c r="K270" i="1"/>
  <c r="J270" i="1"/>
  <c r="I270" i="1"/>
  <c r="H270" i="1"/>
  <c r="G270" i="1"/>
  <c r="F270" i="1"/>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D81"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D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3" i="2"/>
  <c r="D115" i="2"/>
  <c r="F115" i="2"/>
  <c r="G115" i="2"/>
  <c r="E119" i="2"/>
  <c r="E123" i="2"/>
  <c r="C125" i="2"/>
  <c r="F128" i="2"/>
  <c r="G128" i="2"/>
  <c r="C130" i="2"/>
  <c r="D134" i="2"/>
  <c r="D144" i="2" s="1"/>
  <c r="E134" i="2"/>
  <c r="F134" i="2"/>
  <c r="K419" i="1"/>
  <c r="K427" i="1"/>
  <c r="K433" i="1"/>
  <c r="L263" i="1"/>
  <c r="C135" i="2" s="1"/>
  <c r="E135" i="2"/>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F192" i="1" s="1"/>
  <c r="I177" i="1"/>
  <c r="F183" i="1"/>
  <c r="G183" i="1"/>
  <c r="H183" i="1"/>
  <c r="I183" i="1"/>
  <c r="J183" i="1"/>
  <c r="J192" i="1" s="1"/>
  <c r="F188" i="1"/>
  <c r="G188" i="1"/>
  <c r="H188" i="1"/>
  <c r="I188" i="1"/>
  <c r="F211" i="1"/>
  <c r="G211" i="1"/>
  <c r="H211" i="1"/>
  <c r="I211" i="1"/>
  <c r="J211" i="1"/>
  <c r="K211" i="1"/>
  <c r="F229" i="1"/>
  <c r="G229" i="1"/>
  <c r="H229" i="1"/>
  <c r="I229" i="1"/>
  <c r="J229" i="1"/>
  <c r="J257" i="1" s="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F461" i="1" s="1"/>
  <c r="H639" i="1" s="1"/>
  <c r="G452" i="1"/>
  <c r="H452" i="1"/>
  <c r="F460" i="1"/>
  <c r="G460" i="1"/>
  <c r="H460" i="1"/>
  <c r="H461" i="1" s="1"/>
  <c r="H641" i="1" s="1"/>
  <c r="J641" i="1" s="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F571" i="1" s="1"/>
  <c r="G565" i="1"/>
  <c r="H565" i="1"/>
  <c r="I565" i="1"/>
  <c r="J565" i="1"/>
  <c r="K565" i="1"/>
  <c r="L567" i="1"/>
  <c r="L568" i="1"/>
  <c r="L569" i="1"/>
  <c r="F570" i="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2" i="1"/>
  <c r="G623" i="1"/>
  <c r="G624" i="1"/>
  <c r="G625" i="1"/>
  <c r="H627" i="1"/>
  <c r="H628" i="1"/>
  <c r="H629" i="1"/>
  <c r="H630" i="1"/>
  <c r="H631" i="1"/>
  <c r="H632" i="1"/>
  <c r="H633" i="1"/>
  <c r="G634" i="1"/>
  <c r="H635" i="1"/>
  <c r="H636" i="1"/>
  <c r="H637" i="1"/>
  <c r="H638" i="1"/>
  <c r="G640" i="1"/>
  <c r="G641" i="1"/>
  <c r="G643" i="1"/>
  <c r="H643" i="1"/>
  <c r="G644" i="1"/>
  <c r="G650" i="1"/>
  <c r="G651" i="1"/>
  <c r="G652" i="1"/>
  <c r="H652" i="1"/>
  <c r="G653" i="1"/>
  <c r="H653" i="1"/>
  <c r="G654" i="1"/>
  <c r="H654" i="1"/>
  <c r="H655" i="1"/>
  <c r="J655" i="1" s="1"/>
  <c r="L256" i="1"/>
  <c r="C91" i="2"/>
  <c r="D31" i="2"/>
  <c r="D50" i="2"/>
  <c r="D91" i="2"/>
  <c r="G62" i="2"/>
  <c r="H112" i="1"/>
  <c r="L419" i="1"/>
  <c r="I169" i="1"/>
  <c r="G552" i="1"/>
  <c r="J643" i="1"/>
  <c r="J140" i="1"/>
  <c r="G22" i="2"/>
  <c r="H140" i="1"/>
  <c r="H192" i="1"/>
  <c r="C18" i="2" l="1"/>
  <c r="L427" i="1"/>
  <c r="L328" i="1"/>
  <c r="L309" i="1"/>
  <c r="E118" i="2"/>
  <c r="E128" i="2" s="1"/>
  <c r="J625" i="1"/>
  <c r="G461" i="1"/>
  <c r="H640" i="1" s="1"/>
  <c r="E31" i="2"/>
  <c r="L270" i="1"/>
  <c r="C13" i="10"/>
  <c r="F338" i="1"/>
  <c r="F352" i="1" s="1"/>
  <c r="I52" i="1"/>
  <c r="H620" i="1" s="1"/>
  <c r="D18" i="2"/>
  <c r="E124" i="2"/>
  <c r="E120" i="2"/>
  <c r="F661" i="1"/>
  <c r="H662" i="1"/>
  <c r="L393" i="1"/>
  <c r="C138" i="2" s="1"/>
  <c r="E122" i="2"/>
  <c r="J545" i="1"/>
  <c r="J476" i="1"/>
  <c r="H626" i="1" s="1"/>
  <c r="G338" i="1"/>
  <c r="G352" i="1" s="1"/>
  <c r="C26" i="10"/>
  <c r="L614" i="1"/>
  <c r="K571" i="1"/>
  <c r="L570" i="1"/>
  <c r="H571" i="1"/>
  <c r="L565" i="1"/>
  <c r="L571" i="1" s="1"/>
  <c r="I571" i="1"/>
  <c r="K545" i="1"/>
  <c r="G545" i="1"/>
  <c r="G164" i="2"/>
  <c r="G161" i="2"/>
  <c r="G157" i="2"/>
  <c r="G156" i="2"/>
  <c r="C114" i="2"/>
  <c r="G81" i="2"/>
  <c r="F78" i="2"/>
  <c r="F81" i="2" s="1"/>
  <c r="C70" i="2"/>
  <c r="C119" i="2"/>
  <c r="F476" i="1"/>
  <c r="H622" i="1" s="1"/>
  <c r="J622" i="1" s="1"/>
  <c r="J651" i="1"/>
  <c r="K598" i="1"/>
  <c r="G647" i="1" s="1"/>
  <c r="J647" i="1" s="1"/>
  <c r="J552" i="1"/>
  <c r="I545" i="1"/>
  <c r="H545" i="1"/>
  <c r="F552" i="1"/>
  <c r="K549" i="1"/>
  <c r="J634" i="1"/>
  <c r="L362" i="1"/>
  <c r="G635" i="1" s="1"/>
  <c r="J635" i="1" s="1"/>
  <c r="G661" i="1"/>
  <c r="C18" i="10"/>
  <c r="L290" i="1"/>
  <c r="L338" i="1" s="1"/>
  <c r="L352" i="1" s="1"/>
  <c r="G633" i="1" s="1"/>
  <c r="J633" i="1" s="1"/>
  <c r="E112" i="2"/>
  <c r="D15" i="13"/>
  <c r="C15" i="13" s="1"/>
  <c r="K257" i="1"/>
  <c r="K271" i="1" s="1"/>
  <c r="F257" i="1"/>
  <c r="F271" i="1" s="1"/>
  <c r="L247" i="1"/>
  <c r="G36" i="14" s="1"/>
  <c r="H36" i="14" s="1"/>
  <c r="I36" i="14" s="1"/>
  <c r="H257" i="1"/>
  <c r="H271" i="1" s="1"/>
  <c r="C20" i="10"/>
  <c r="C121" i="2"/>
  <c r="C120" i="2"/>
  <c r="D6" i="13"/>
  <c r="C6" i="13" s="1"/>
  <c r="I257" i="1"/>
  <c r="I271" i="1" s="1"/>
  <c r="L211" i="1"/>
  <c r="H52" i="1"/>
  <c r="H619" i="1" s="1"/>
  <c r="J619" i="1" s="1"/>
  <c r="H476" i="1"/>
  <c r="H624" i="1" s="1"/>
  <c r="J624" i="1" s="1"/>
  <c r="G476" i="1"/>
  <c r="H623" i="1" s="1"/>
  <c r="J623" i="1" s="1"/>
  <c r="G192" i="1"/>
  <c r="D62" i="2"/>
  <c r="D63" i="2" s="1"/>
  <c r="E62" i="2"/>
  <c r="E63" i="2" s="1"/>
  <c r="C78" i="2"/>
  <c r="C81" i="2" s="1"/>
  <c r="F112" i="1"/>
  <c r="C36" i="10" s="1"/>
  <c r="G645" i="1"/>
  <c r="J645" i="1" s="1"/>
  <c r="J640" i="1"/>
  <c r="J644" i="1"/>
  <c r="J617" i="1"/>
  <c r="J639" i="1"/>
  <c r="K551" i="1"/>
  <c r="I25" i="13"/>
  <c r="K550" i="1"/>
  <c r="J271"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C115" i="2" s="1"/>
  <c r="L229" i="1"/>
  <c r="G24" i="14" s="1"/>
  <c r="C16" i="13"/>
  <c r="L337" i="1"/>
  <c r="F62" i="2"/>
  <c r="F63" i="2" s="1"/>
  <c r="F104"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J618" i="1"/>
  <c r="G42" i="2"/>
  <c r="J51" i="1"/>
  <c r="G16" i="2"/>
  <c r="G18" i="2" s="1"/>
  <c r="J19" i="1"/>
  <c r="G621" i="1" s="1"/>
  <c r="F545" i="1"/>
  <c r="H434" i="1"/>
  <c r="J620" i="1"/>
  <c r="D103" i="2"/>
  <c r="D104" i="2" s="1"/>
  <c r="I140" i="1"/>
  <c r="A22" i="12"/>
  <c r="G50" i="2"/>
  <c r="G51" i="2" s="1"/>
  <c r="H648" i="1"/>
  <c r="J648" i="1" s="1"/>
  <c r="J652" i="1"/>
  <c r="G571" i="1"/>
  <c r="I434" i="1"/>
  <c r="G434" i="1"/>
  <c r="I663" i="1"/>
  <c r="C27" i="10"/>
  <c r="E51" i="2" l="1"/>
  <c r="L545" i="1"/>
  <c r="I193" i="1"/>
  <c r="G630" i="1" s="1"/>
  <c r="J630" i="1" s="1"/>
  <c r="I661" i="1"/>
  <c r="F660" i="1"/>
  <c r="F664" i="1" s="1"/>
  <c r="F672" i="1" s="1"/>
  <c r="C4" i="10" s="1"/>
  <c r="E145" i="2"/>
  <c r="C144" i="2"/>
  <c r="H660" i="1"/>
  <c r="H664" i="1" s="1"/>
  <c r="C128" i="2"/>
  <c r="E33" i="13"/>
  <c r="D35" i="13" s="1"/>
  <c r="G4" i="14"/>
  <c r="H4" i="14" s="1"/>
  <c r="I4" i="14" s="1"/>
  <c r="L257" i="1"/>
  <c r="L271" i="1" s="1"/>
  <c r="G632" i="1" s="1"/>
  <c r="J632" i="1" s="1"/>
  <c r="E104" i="2"/>
  <c r="F193" i="1"/>
  <c r="G627" i="1" s="1"/>
  <c r="J627" i="1" s="1"/>
  <c r="C63" i="2"/>
  <c r="C104" i="2" s="1"/>
  <c r="G104" i="2"/>
  <c r="H646" i="1"/>
  <c r="J646" i="1" s="1"/>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C145" i="2" l="1"/>
  <c r="G672" i="1"/>
  <c r="C5" i="10" s="1"/>
  <c r="F667" i="1"/>
  <c r="I660" i="1"/>
  <c r="I664" i="1" s="1"/>
  <c r="I672" i="1" s="1"/>
  <c r="C7" i="10" s="1"/>
  <c r="D25" i="10"/>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<sst xmlns="http://schemas.openxmlformats.org/spreadsheetml/2006/main" count="5505" uniqueCount="1611">
  <si>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</si>
  <si>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</si>
  <si>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</si>
  <si>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</si>
  <si>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</si>
  <si>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</si>
  <si>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</si>
  <si>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</si>
  <si>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</si>
  <si>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</si>
  <si>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</si>
  <si>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</si>
  <si>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</si>
  <si>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</si>
  <si>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</si>
  <si>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</si>
  <si>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</si>
  <si>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</si>
  <si>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</si>
  <si>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</si>
  <si>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</si>
  <si>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</si>
  <si>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</si>
  <si>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</si>
  <si>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</si>
  <si>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</si>
  <si>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</si>
  <si>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</si>
  <si>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</si>
  <si>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</si>
  <si>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</si>
  <si>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</si>
  <si>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</si>
  <si>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</si>
  <si>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</si>
  <si>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</si>
  <si>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</si>
  <si>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</si>
  <si>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</si>
  <si>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</si>
  <si>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</si>
  <si>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</si>
  <si>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</si>
  <si>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</si>
  <si>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</si>
  <si>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</si>
  <si>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</si>
  <si>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</si>
  <si>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</si>
  <si>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</si>
  <si>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</si>
  <si>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</si>
  <si>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</si>
  <si>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</si>
  <si>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</si>
  <si>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</si>
  <si>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</si>
  <si>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</si>
  <si>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</si>
  <si>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</si>
  <si>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</si>
  <si>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</si>
  <si>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</si>
  <si>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</si>
  <si>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</si>
  <si>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</si>
  <si>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</si>
  <si>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</si>
  <si>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</si>
  <si>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</si>
  <si>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</si>
  <si>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</si>
  <si>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</si>
  <si>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</si>
  <si>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</si>
  <si>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</si>
  <si>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</si>
  <si>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</si>
  <si>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</si>
  <si>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</si>
  <si>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</si>
  <si>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</si>
  <si>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</si>
  <si>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</si>
  <si>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</si>
  <si>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</si>
  <si>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</si>
  <si>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</si>
  <si>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</si>
  <si>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</si>
  <si>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</si>
  <si>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</si>
  <si>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</si>
  <si>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</si>
  <si>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</si>
  <si>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</si>
  <si>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</si>
  <si>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</si>
  <si>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</si>
  <si>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</si>
  <si>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</si>
  <si>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</si>
  <si>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</si>
  <si>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</si>
  <si>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</si>
  <si>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</si>
  <si>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</si>
  <si>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</si>
  <si>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</si>
  <si>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</si>
  <si>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</si>
  <si>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</si>
  <si>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</si>
  <si>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</si>
  <si>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</si>
  <si>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</si>
  <si>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</si>
  <si>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</si>
  <si>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</si>
  <si>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</si>
  <si>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</si>
  <si>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</si>
  <si>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</si>
  <si>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</si>
  <si>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</si>
  <si>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</si>
  <si>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</si>
  <si>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</si>
  <si>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</si>
  <si>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</si>
  <si>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</si>
  <si>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</si>
  <si>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</si>
  <si>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</si>
  <si>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</si>
  <si>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</si>
  <si>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</si>
  <si>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</si>
  <si>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</si>
  <si>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</si>
  <si>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</si>
  <si>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</si>
  <si>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</si>
  <si>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</si>
  <si>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</si>
  <si>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</si>
  <si>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</si>
  <si>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</si>
  <si>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</si>
  <si>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</si>
  <si>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</si>
  <si>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</si>
  <si>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</si>
  <si>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</si>
  <si>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</si>
  <si>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</si>
  <si>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</si>
  <si>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</si>
  <si>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</si>
  <si>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</si>
  <si>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</si>
  <si>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</si>
  <si>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</si>
  <si>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</si>
  <si>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</si>
  <si>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</si>
  <si>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</si>
  <si>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</si>
  <si>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</si>
  <si>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</si>
  <si>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</si>
  <si>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</si>
  <si>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</si>
  <si>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</si>
  <si>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</si>
  <si>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</si>
  <si>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</si>
  <si>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</si>
  <si>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</si>
  <si>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</si>
  <si>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</si>
  <si>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</si>
  <si>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</si>
  <si>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</si>
  <si>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</si>
  <si>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</si>
  <si>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</si>
  <si>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</si>
  <si>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</si>
  <si>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</si>
  <si>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</si>
  <si>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</si>
  <si>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</si>
  <si>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</si>
  <si>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</si>
  <si>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</si>
  <si>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</si>
  <si>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</si>
  <si>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</si>
  <si>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</si>
  <si>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</si>
  <si>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</si>
  <si>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</si>
  <si>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</si>
  <si>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</si>
  <si>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</si>
  <si>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</si>
  <si>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</si>
  <si>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</si>
  <si>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</si>
  <si>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</si>
  <si>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</si>
  <si>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</si>
  <si>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</si>
  <si>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</si>
  <si>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</si>
  <si>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</si>
  <si>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</si>
  <si>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</si>
  <si>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</si>
  <si>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</si>
  <si>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</si>
  <si>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</si>
  <si>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</si>
  <si>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</si>
  <si>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</si>
  <si>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</si>
  <si>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</si>
  <si>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</si>
  <si>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</si>
  <si>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</si>
  <si>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</si>
  <si>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</si>
  <si>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</si>
  <si>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</si>
  <si>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</si>
  <si>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</si>
  <si>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</si>
  <si>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</si>
  <si>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</si>
  <si>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</si>
  <si>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</si>
  <si>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</si>
  <si>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</si>
  <si>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</si>
  <si>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</si>
  <si>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</si>
  <si>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</si>
  <si>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</si>
  <si>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</si>
  <si>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</si>
  <si>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</si>
  <si>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</si>
  <si>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</si>
  <si>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</si>
  <si>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</si>
  <si>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</si>
  <si>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</si>
  <si>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</si>
  <si>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</si>
  <si>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</si>
  <si>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</si>
  <si>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</si>
  <si>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</si>
  <si>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</si>
  <si>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</si>
  <si>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</si>
  <si>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</si>
  <si>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</si>
  <si>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</si>
  <si>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</si>
  <si>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</si>
  <si>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</si>
  <si>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</si>
  <si>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</si>
  <si>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</si>
  <si>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</si>
  <si>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</si>
  <si>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</si>
  <si>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</si>
  <si>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</si>
  <si>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</si>
  <si>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</si>
  <si>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</si>
  <si>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</si>
  <si>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</si>
  <si>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</si>
  <si>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</si>
  <si>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</si>
  <si>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</si>
  <si>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</si>
  <si>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</si>
  <si>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</si>
  <si>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</si>
  <si>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</si>
  <si>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</si>
  <si>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</si>
  <si>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</si>
  <si>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</si>
  <si>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</si>
  <si>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</si>
  <si>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</si>
  <si>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</si>
  <si>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</si>
  <si>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</si>
  <si>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</si>
  <si>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</si>
  <si>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</si>
  <si>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</si>
  <si>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</si>
  <si>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</si>
  <si>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</si>
  <si>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</si>
  <si>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</si>
  <si>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</si>
  <si>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</si>
  <si>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</si>
  <si>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</si>
  <si>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</si>
  <si>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</si>
  <si>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</si>
  <si>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</si>
  <si>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</si>
  <si>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</si>
  <si>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</si>
  <si>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</si>
  <si>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</si>
  <si>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</si>
  <si>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</si>
  <si>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</si>
  <si>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</si>
  <si>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</si>
  <si>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</si>
  <si>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</si>
  <si>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</si>
  <si>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</si>
  <si>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</si>
  <si>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</si>
  <si>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</si>
  <si>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</si>
  <si>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</si>
  <si>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</si>
  <si>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</si>
  <si>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</si>
  <si>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</si>
  <si>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</si>
  <si>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</si>
  <si>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</si>
  <si>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</si>
  <si>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</si>
  <si>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</si>
  <si>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</si>
  <si>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</si>
  <si>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</si>
  <si>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</si>
  <si>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</si>
  <si>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</si>
  <si>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</si>
  <si>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</si>
  <si>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</si>
  <si>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</si>
  <si>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</si>
  <si>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</si>
  <si>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</si>
  <si>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</si>
  <si>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</si>
  <si>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</si>
  <si>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</si>
  <si>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</si>
  <si>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</si>
  <si>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</si>
  <si>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</si>
  <si>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</si>
  <si>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</si>
  <si>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</si>
  <si>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</si>
  <si>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</si>
  <si>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</si>
  <si>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</si>
  <si>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</si>
  <si>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</si>
  <si>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</si>
  <si>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</si>
  <si>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</si>
  <si>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</si>
  <si>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</si>
  <si>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</si>
  <si>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</si>
  <si>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</si>
  <si>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</si>
  <si>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</si>
  <si>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</si>
  <si>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</si>
  <si>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</si>
  <si>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</si>
  <si>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</si>
  <si>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</si>
  <si>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</si>
  <si>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</si>
  <si>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</si>
  <si>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</si>
  <si>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</si>
  <si>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</si>
  <si>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</si>
  <si>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</si>
  <si>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</si>
  <si>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</si>
  <si>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</si>
  <si>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</si>
  <si>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</si>
  <si>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</si>
  <si>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</si>
  <si>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</si>
  <si>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</si>
  <si>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</si>
  <si>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</si>
  <si>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</si>
  <si>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</si>
  <si>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</si>
  <si>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</si>
  <si>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</si>
  <si>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</si>
  <si>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</si>
  <si>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</si>
  <si>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</si>
  <si>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</si>
  <si>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</si>
  <si>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</si>
  <si>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</si>
  <si>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</si>
  <si>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</si>
  <si>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</si>
  <si>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</si>
  <si>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</si>
  <si>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</si>
  <si>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</si>
  <si>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</si>
  <si>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</si>
  <si>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</si>
  <si>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</si>
  <si>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</si>
  <si>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</si>
  <si>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</si>
  <si>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</si>
  <si>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</si>
  <si>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</si>
  <si>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</si>
  <si>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</si>
  <si>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</si>
  <si>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</si>
  <si>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</si>
  <si>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</si>
  <si>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</si>
  <si>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</si>
  <si>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</si>
  <si>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</si>
  <si>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</si>
  <si>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</si>
  <si>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</si>
  <si>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</si>
  <si>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</si>
  <si>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</si>
  <si>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</si>
  <si>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</si>
  <si>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</si>
  <si>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</si>
  <si>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</si>
  <si>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</si>
  <si>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</si>
  <si>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</si>
  <si>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</si>
  <si>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</si>
  <si>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</si>
  <si>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</si>
  <si>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</si>
  <si>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</si>
  <si>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</si>
  <si>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</si>
  <si>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</si>
  <si>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</si>
  <si>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</si>
  <si>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</si>
  <si>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</si>
  <si>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</si>
  <si>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</si>
  <si>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</si>
  <si>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</si>
  <si>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</si>
  <si>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</si>
  <si>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</si>
  <si>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</si>
  <si>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</si>
  <si>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</si>
  <si>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</si>
  <si>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</si>
  <si>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</si>
  <si>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</si>
  <si>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</si>
  <si>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</si>
  <si>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</si>
  <si>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</si>
  <si>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</si>
  <si>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</si>
  <si>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</si>
  <si>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</si>
  <si>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</si>
  <si>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</si>
  <si>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</si>
  <si>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</si>
  <si>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</si>
  <si>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</si>
  <si>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</si>
  <si>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</si>
  <si>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</si>
  <si>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</si>
  <si>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</si>
  <si>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</si>
  <si>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</si>
  <si>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</si>
  <si>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</si>
  <si>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</si>
  <si>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</si>
  <si>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</si>
  <si>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</si>
  <si>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</si>
  <si>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</si>
  <si>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</si>
  <si>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</si>
  <si>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</si>
  <si>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</si>
  <si>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</si>
  <si>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</si>
  <si>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</si>
  <si>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</si>
  <si>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</si>
  <si>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</si>
  <si>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</si>
  <si>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</si>
  <si>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</si>
  <si>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</si>
  <si>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</si>
  <si>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</si>
  <si>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</si>
  <si>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</si>
  <si>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</si>
  <si>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</si>
  <si>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</si>
  <si>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</si>
  <si>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</si>
  <si>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</si>
  <si>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</si>
  <si>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</si>
  <si>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</si>
  <si>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</si>
  <si>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</si>
  <si>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</si>
  <si>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</si>
  <si>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</si>
  <si>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</si>
  <si>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</si>
  <si>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</si>
  <si>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</si>
  <si>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</si>
  <si>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</si>
  <si>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</si>
  <si>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</si>
  <si>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</si>
  <si>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</si>
  <si>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</si>
  <si>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</si>
  <si>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</si>
  <si>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</si>
  <si>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</si>
  <si>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</si>
  <si>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</si>
  <si>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</si>
  <si>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</si>
  <si>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</si>
  <si>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</si>
  <si>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</si>
  <si>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</si>
  <si>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</si>
  <si>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</si>
  <si>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</si>
  <si>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</si>
  <si>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</si>
  <si>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</si>
  <si>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</si>
  <si>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</si>
  <si>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</si>
  <si>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</si>
  <si>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</si>
  <si>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</si>
  <si>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</si>
  <si>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</si>
  <si>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</si>
  <si>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</si>
  <si>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</si>
  <si>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</si>
  <si>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</si>
  <si>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</si>
  <si>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</si>
  <si>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</si>
  <si>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</si>
  <si>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</si>
  <si>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</si>
  <si>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</si>
  <si>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</si>
  <si>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</si>
  <si>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</si>
  <si>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</si>
  <si>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</si>
  <si>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</si>
  <si>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</si>
  <si>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</si>
  <si>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</si>
  <si>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</si>
  <si>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</si>
  <si>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</si>
  <si>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</si>
  <si>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</si>
  <si>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</si>
  <si>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</si>
  <si>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</si>
  <si>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</si>
  <si>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</si>
  <si>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</si>
  <si>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</si>
  <si>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</si>
  <si>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</si>
  <si>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</si>
  <si>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</si>
  <si>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</si>
  <si>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</si>
  <si>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</si>
  <si>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</si>
  <si>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</si>
  <si>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</si>
  <si>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</si>
  <si>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</si>
  <si>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</si>
  <si>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</si>
  <si>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</si>
  <si>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</si>
  <si>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</si>
  <si>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</si>
  <si>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</si>
  <si>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</si>
  <si>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</si>
  <si>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</si>
  <si>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</si>
  <si>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</si>
  <si>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</si>
  <si>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</si>
  <si>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</si>
  <si>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</si>
  <si>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</si>
  <si>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</si>
  <si>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</si>
  <si>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</si>
  <si>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</si>
  <si>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</si>
  <si>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</si>
  <si>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</si>
  <si>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</si>
  <si>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</si>
  <si>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</si>
  <si>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</si>
  <si>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</si>
  <si>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</si>
  <si>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</si>
  <si>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</si>
  <si>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</si>
  <si>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</si>
  <si>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</si>
  <si>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</si>
  <si>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</si>
  <si>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</si>
  <si>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</si>
  <si>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</si>
  <si>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</si>
  <si>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</si>
  <si>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</si>
  <si>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</si>
  <si>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</si>
  <si>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</si>
  <si>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</si>
  <si>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</si>
  <si>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</si>
  <si>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</si>
  <si>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</si>
  <si>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</si>
  <si>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</si>
  <si>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</si>
  <si>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</si>
  <si>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</si>
  <si>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</si>
  <si>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</si>
  <si>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</si>
  <si>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</si>
  <si>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</si>
  <si>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</si>
  <si>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</si>
  <si>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</si>
  <si>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</si>
  <si>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</si>
  <si>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</si>
  <si>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</si>
  <si>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</si>
  <si>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</si>
  <si>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</si>
  <si>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</si>
  <si>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</si>
  <si>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</si>
  <si>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</si>
  <si>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</si>
  <si>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</si>
  <si>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</si>
  <si>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</si>
  <si>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</si>
  <si>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</si>
  <si>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</si>
  <si>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</si>
  <si>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</si>
  <si>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</si>
  <si>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</si>
  <si>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</si>
  <si>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</si>
  <si>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</si>
  <si>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</si>
  <si>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</si>
  <si>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</si>
  <si>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</si>
  <si>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</si>
  <si>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</si>
  <si>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</si>
  <si>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</si>
  <si>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</si>
  <si>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</si>
  <si>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</si>
  <si>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</si>
  <si>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</si>
  <si>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</si>
  <si>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</si>
  <si>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</si>
  <si>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</si>
  <si>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</si>
  <si>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</si>
  <si>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</si>
  <si>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</si>
  <si>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</si>
  <si>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</si>
  <si>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</si>
  <si>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</si>
  <si>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</si>
  <si>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</si>
  <si>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</si>
  <si>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</si>
  <si>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</si>
  <si>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</si>
  <si>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</si>
  <si>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</si>
  <si>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</si>
  <si>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</si>
  <si>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</si>
  <si>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</si>
  <si>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</si>
  <si>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</si>
  <si>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</si>
  <si>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</si>
  <si>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</si>
  <si>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</si>
  <si>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</si>
  <si>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</si>
  <si>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</si>
  <si>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</si>
  <si>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</si>
  <si>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</si>
  <si>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</si>
  <si>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</si>
  <si>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</si>
  <si>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</si>
  <si>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</si>
  <si>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</si>
  <si>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</si>
  <si>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</si>
  <si>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</si>
  <si>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</si>
  <si>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</si>
  <si>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</si>
  <si>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</si>
  <si>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</si>
  <si>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</si>
  <si>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</si>
  <si>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</si>
  <si>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</si>
  <si>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</si>
  <si>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</si>
  <si>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</si>
  <si>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</si>
  <si>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</si>
  <si>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</si>
  <si>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</si>
  <si>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</si>
  <si>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</si>
  <si>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</si>
  <si>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</si>
  <si>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</si>
  <si>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</si>
  <si>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</si>
  <si>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</si>
  <si>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</si>
  <si>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</si>
  <si>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</si>
  <si>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</si>
  <si>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</si>
  <si>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</si>
  <si>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</si>
  <si>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</si>
  <si>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</si>
  <si>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</si>
  <si>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</si>
  <si>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</si>
  <si>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</si>
  <si>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</si>
  <si>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</si>
  <si>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</si>
  <si>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</si>
  <si>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</si>
  <si>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</si>
  <si>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</si>
  <si>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</si>
  <si>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</si>
  <si>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</si>
  <si>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</si>
  <si>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</si>
  <si>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</si>
  <si>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</si>
  <si>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</si>
  <si>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</si>
  <si>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</si>
  <si>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</si>
  <si>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</si>
  <si>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</si>
  <si>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</si>
  <si>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</si>
  <si>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</si>
  <si>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</si>
  <si>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</si>
  <si>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</si>
  <si>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</si>
  <si>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</si>
  <si>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</si>
  <si>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</si>
  <si>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</si>
  <si>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</si>
  <si>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</si>
  <si>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</si>
  <si>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</si>
  <si>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</si>
  <si>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</si>
  <si>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</si>
  <si>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</si>
  <si>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</si>
  <si>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</si>
  <si>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</si>
  <si>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</si>
  <si>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</si>
  <si>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</si>
  <si>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</si>
  <si>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</si>
  <si>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</si>
  <si>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</si>
  <si>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</si>
  <si>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</si>
  <si>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</si>
  <si>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</si>
  <si>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</si>
  <si>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</si>
  <si>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</si>
  <si>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</si>
  <si>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</si>
  <si>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</si>
  <si>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</si>
  <si>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</si>
  <si>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</si>
  <si>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</si>
  <si>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</si>
  <si>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</si>
  <si>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</si>
  <si>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</si>
  <si>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</si>
  <si>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</si>
  <si>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</si>
  <si>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</si>
  <si>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</si>
  <si>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</si>
  <si>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</si>
  <si>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</si>
  <si>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</si>
  <si>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</si>
  <si>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</si>
  <si>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</si>
  <si>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</si>
  <si>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</si>
  <si>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</si>
  <si>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</si>
  <si>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</si>
  <si>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</si>
  <si>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</si>
  <si>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</si>
  <si>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</si>
  <si>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</si>
  <si>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</si>
  <si>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</si>
  <si>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</si>
  <si>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</si>
  <si>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</si>
  <si>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</si>
  <si>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</si>
  <si>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</si>
  <si>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</si>
  <si>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</si>
  <si>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</si>
  <si>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</si>
  <si>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</si>
  <si>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</si>
  <si>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</si>
  <si>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</si>
  <si>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</si>
  <si>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</si>
  <si>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</si>
  <si>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</si>
  <si>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</si>
  <si>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</si>
  <si>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</si>
  <si>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</si>
  <si>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</si>
  <si>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</si>
  <si>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</si>
  <si>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</si>
  <si>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</si>
  <si>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</si>
  <si>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</si>
  <si>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</si>
  <si>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</si>
  <si>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</si>
  <si>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</si>
  <si>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</si>
  <si>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</si>
  <si>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</si>
  <si>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</si>
  <si>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</si>
  <si>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</si>
  <si>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</si>
  <si>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</si>
  <si>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</si>
  <si>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</si>
  <si>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</si>
  <si>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</si>
  <si>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</si>
  <si>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</si>
  <si>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</si>
  <si>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</si>
  <si>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</si>
  <si>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</si>
  <si>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</si>
  <si>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</si>
  <si>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</si>
  <si>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</si>
  <si>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</si>
  <si>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</si>
  <si>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</si>
  <si>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</si>
  <si>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</si>
  <si>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</si>
  <si>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</si>
  <si>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</si>
  <si>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</si>
  <si>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</si>
  <si>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</si>
  <si>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</si>
  <si>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</si>
  <si>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</si>
  <si>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</si>
  <si>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</si>
  <si>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</si>
  <si>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</si>
  <si>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</si>
  <si>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</si>
  <si>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</si>
  <si>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</si>
  <si>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</si>
  <si>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</si>
  <si>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</si>
  <si>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</si>
  <si>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</si>
  <si>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</si>
  <si>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</si>
  <si>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</si>
  <si>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</si>
  <si>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</si>
  <si>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</si>
  <si>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</si>
  <si>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</si>
  <si>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</si>
  <si>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</si>
  <si>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</si>
  <si>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</si>
  <si>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</si>
  <si>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</si>
  <si>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</si>
  <si>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</si>
  <si>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</si>
  <si>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</si>
  <si>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</si>
  <si>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</si>
  <si>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</si>
  <si>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</si>
  <si>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</si>
  <si>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</si>
  <si>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</si>
  <si>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</si>
  <si>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</si>
  <si>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</si>
  <si>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</si>
  <si>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</si>
  <si>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</si>
  <si>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</si>
  <si>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</si>
  <si>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</si>
  <si>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</si>
  <si>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</si>
  <si>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</si>
  <si>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</si>
  <si>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</si>
  <si>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</si>
  <si>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</si>
  <si>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</si>
  <si>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</si>
  <si>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</si>
  <si>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</si>
  <si>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</si>
  <si>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</si>
  <si>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</si>
  <si>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</si>
  <si>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</si>
  <si>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</si>
  <si>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</si>
  <si>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</si>
  <si>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</si>
  <si>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</si>
  <si>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</si>
  <si>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</si>
  <si>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</si>
  <si>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</si>
  <si>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</si>
  <si>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</si>
  <si>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</si>
  <si>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</si>
  <si>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</si>
  <si>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</si>
  <si>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</si>
  <si>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</si>
  <si>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</si>
  <si>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</si>
  <si>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</si>
  <si>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</si>
  <si>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</si>
  <si>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</si>
  <si>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</si>
  <si>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</si>
  <si>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</si>
  <si>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</si>
  <si>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</si>
  <si>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</si>
  <si>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</si>
  <si>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</si>
  <si>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</si>
  <si>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</si>
  <si>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</si>
  <si>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</si>
  <si>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</si>
  <si>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</si>
  <si>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</si>
  <si>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</si>
  <si>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</si>
  <si>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</si>
  <si>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</si>
  <si>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</si>
  <si>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</si>
  <si>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</si>
  <si>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</si>
  <si>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</si>
  <si>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</si>
  <si>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</si>
  <si>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</si>
  <si>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</si>
  <si>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</si>
  <si>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</si>
  <si>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</si>
  <si>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</si>
  <si>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</si>
  <si>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</si>
  <si>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</si>
  <si>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</si>
  <si>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</si>
  <si>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</si>
  <si>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</si>
  <si>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</si>
  <si>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</si>
  <si>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</si>
  <si>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</si>
  <si>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</si>
  <si>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</si>
  <si>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</si>
  <si>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</si>
  <si>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</si>
  <si>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</si>
  <si>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</si>
  <si>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</si>
  <si>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</si>
  <si>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</si>
  <si>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</si>
  <si>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</si>
  <si>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</si>
  <si>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</si>
  <si>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</si>
  <si>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</si>
  <si>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</si>
  <si>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</si>
  <si>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</si>
  <si>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</si>
  <si>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</si>
  <si>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</si>
  <si>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</si>
  <si>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</si>
  <si>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</si>
  <si>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</si>
  <si>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</si>
  <si>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</si>
  <si>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</si>
  <si>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</si>
  <si>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</si>
  <si>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</si>
  <si>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</si>
  <si>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</si>
  <si>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</si>
  <si>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</si>
  <si>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</si>
  <si>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</si>
  <si>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</si>
  <si>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</si>
  <si>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</si>
  <si>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</si>
  <si>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</si>
  <si>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</si>
  <si>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</si>
  <si>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</si>
  <si>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</si>
  <si>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</si>
  <si>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</si>
  <si>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</si>
  <si>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</si>
  <si>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</si>
  <si>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</si>
  <si>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</si>
  <si>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</si>
  <si>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</si>
  <si>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</si>
  <si>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</si>
  <si>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</si>
  <si>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</si>
  <si>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</si>
  <si>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</si>
  <si>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</si>
  <si>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</si>
  <si>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</si>
  <si>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</si>
  <si>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</si>
  <si>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</si>
  <si>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</si>
  <si>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</si>
  <si>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</si>
  <si>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</si>
  <si>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</si>
  <si>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</si>
  <si>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</si>
  <si>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</si>
  <si>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</si>
  <si>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</si>
  <si>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</si>
  <si>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</si>
  <si>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</si>
  <si>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</si>
  <si>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</si>
  <si>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</si>
  <si>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</si>
  <si>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</si>
  <si>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</si>
  <si>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</si>
  <si>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</si>
  <si>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</si>
  <si>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</si>
  <si>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</si>
  <si>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</si>
  <si>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</si>
  <si>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</si>
  <si>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</si>
  <si>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</si>
  <si>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</si>
  <si>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</si>
  <si>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</si>
  <si>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</si>
  <si>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</si>
  <si>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</si>
  <si>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</si>
  <si>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</si>
  <si>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</si>
  <si>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</si>
  <si>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</si>
  <si>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</si>
  <si>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</si>
  <si>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</si>
  <si>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</si>
  <si>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</si>
  <si>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</si>
  <si>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</si>
  <si>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</si>
  <si>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</si>
  <si>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</si>
  <si>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</si>
  <si>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</si>
  <si>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</si>
  <si>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</si>
  <si>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</si>
  <si>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</si>
  <si>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</si>
  <si>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</si>
  <si>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</si>
  <si>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</si>
  <si>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</si>
  <si>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</si>
  <si>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</si>
  <si>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</si>
  <si>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</si>
  <si>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</si>
  <si>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</si>
  <si>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</si>
  <si>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</si>
  <si>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</si>
  <si>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</si>
  <si>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</si>
  <si>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</si>
  <si>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</si>
  <si>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</si>
  <si>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</si>
  <si>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</si>
  <si>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</si>
  <si>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</si>
  <si>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</si>
  <si>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</si>
  <si>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</si>
  <si>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</si>
  <si>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</si>
  <si>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</si>
  <si>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</si>
  <si>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</si>
  <si>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</si>
  <si>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</si>
  <si>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</si>
  <si>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</si>
  <si>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</si>
  <si>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</si>
  <si>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</si>
  <si>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</si>
  <si>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</si>
  <si>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</si>
  <si>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</si>
  <si>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</si>
  <si>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</si>
  <si>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</si>
  <si>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</si>
  <si>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</si>
  <si>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</si>
  <si>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</si>
  <si>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</si>
  <si>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</si>
  <si>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</si>
  <si>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</si>
  <si>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</si>
  <si>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</si>
  <si>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</si>
  <si>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</si>
  <si>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</si>
  <si>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</si>
  <si>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</si>
  <si>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</si>
  <si>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</si>
  <si>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</si>
  <si>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</si>
  <si>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</si>
  <si>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</si>
  <si>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</si>
  <si>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</si>
  <si>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</si>
  <si>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</si>
  <si>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</si>
  <si>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</si>
  <si>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</si>
  <si>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</si>
  <si>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</si>
  <si>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</si>
  <si>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</si>
  <si>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</si>
  <si>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</si>
  <si>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</si>
  <si>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</si>
  <si>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</si>
  <si>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</si>
  <si>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</si>
  <si>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</si>
  <si>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</si>
  <si>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</si>
  <si>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</si>
  <si>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</si>
  <si>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</si>
  <si>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</si>
  <si>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</si>
  <si>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</si>
  <si>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</si>
  <si>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</si>
  <si>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</si>
  <si>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</si>
  <si>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</si>
  <si>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</si>
  <si>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</si>
  <si>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</si>
  <si>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</si>
  <si>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</si>
  <si>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</si>
  <si>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</si>
  <si>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</si>
  <si>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</si>
  <si>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</si>
  <si>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</si>
  <si>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</si>
  <si>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</si>
  <si>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</si>
  <si>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</si>
  <si>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</si>
  <si>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</si>
  <si>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</si>
  <si>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</si>
  <si>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</si>
  <si>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</si>
  <si>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</si>
  <si>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</si>
  <si>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</si>
  <si>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</si>
  <si>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</si>
  <si>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</si>
  <si>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</si>
  <si>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</si>
  <si>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</si>
  <si>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</si>
  <si>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</si>
  <si>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</si>
  <si>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</si>
  <si>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</si>
  <si>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</si>
  <si>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</si>
  <si>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</si>
  <si>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</si>
  <si>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</si>
  <si>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</si>
  <si>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</si>
  <si>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</si>
  <si>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</si>
  <si>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</si>
  <si>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</si>
  <si>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</si>
  <si>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</si>
  <si>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</si>
  <si>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</si>
  <si>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</si>
  <si>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</si>
  <si>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</si>
  <si>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</si>
  <si>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</si>
  <si>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</si>
  <si>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</si>
  <si>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</si>
  <si>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</si>
  <si>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</si>
  <si>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</si>
  <si>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</si>
  <si>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</si>
  <si>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</si>
  <si>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</si>
  <si>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</si>
  <si>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</si>
  <si>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</si>
  <si>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</si>
  <si>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</si>
  <si>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</si>
  <si>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</si>
  <si>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</si>
  <si>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</si>
  <si>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</si>
  <si>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</si>
  <si>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</si>
  <si>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</si>
  <si>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</si>
  <si>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</si>
  <si>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</si>
  <si>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</si>
  <si>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</si>
  <si>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</si>
  <si>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</si>
  <si>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</si>
  <si>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</si>
  <si>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</si>
  <si>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</si>
  <si>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</si>
  <si>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</si>
  <si>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</si>
  <si>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</si>
  <si>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</si>
  <si>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</si>
  <si>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</si>
  <si>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</si>
  <si>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</si>
  <si>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</si>
  <si>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</si>
  <si>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</si>
  <si>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</si>
  <si>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</si>
  <si>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</si>
  <si>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</si>
  <si>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</si>
  <si>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</si>
  <si>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</si>
  <si>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</si>
  <si>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</si>
  <si>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</si>
  <si>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</si>
  <si>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</si>
  <si>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</si>
  <si>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</si>
  <si>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</si>
  <si>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</si>
  <si>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</si>
  <si>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</si>
  <si>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</si>
  <si>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</si>
  <si>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</si>
  <si>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</si>
  <si>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</si>
  <si>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</si>
  <si>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</si>
  <si>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</si>
  <si>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</si>
  <si>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</si>
  <si>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</si>
  <si>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</si>
  <si>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</si>
  <si>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</si>
  <si>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</si>
  <si>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</si>
  <si>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</si>
  <si>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</si>
  <si>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</si>
  <si>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</si>
  <si>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</si>
  <si>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</si>
  <si>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</si>
  <si>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</si>
  <si>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</si>
  <si>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</si>
  <si>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</si>
  <si>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</si>
  <si>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</si>
  <si>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</si>
  <si>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</si>
  <si>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</si>
  <si>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</si>
  <si>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</si>
  <si>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</si>
  <si>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</si>
  <si>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</si>
  <si>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</si>
  <si>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</si>
  <si>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</si>
  <si>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</si>
  <si>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</si>
  <si>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</si>
  <si>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</si>
  <si>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</si>
  <si>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</si>
  <si>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</si>
  <si>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</si>
  <si>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</si>
  <si>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</si>
  <si>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</si>
  <si>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</si>
  <si>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</si>
  <si>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</si>
  <si>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</si>
  <si>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</si>
  <si>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</si>
  <si>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</si>
  <si>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</si>
  <si>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</si>
  <si>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</si>
  <si>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</si>
  <si>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</si>
  <si>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</si>
  <si>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</si>
  <si>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</si>
  <si>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</si>
  <si>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</si>
  <si>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</si>
  <si>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</si>
  <si>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</si>
  <si>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</si>
  <si>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</si>
  <si>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</si>
  <si>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</si>
  <si>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</si>
  <si>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</si>
  <si>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</si>
  <si>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</si>
  <si>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</si>
  <si>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</si>
  <si>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</si>
  <si>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</si>
  <si>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</si>
  <si>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</si>
  <si>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</si>
  <si>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</si>
  <si>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</si>
  <si>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</si>
  <si>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</si>
  <si>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</si>
  <si>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</si>
  <si>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</si>
  <si>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</si>
  <si>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</si>
  <si>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</si>
  <si>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</si>
  <si>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</si>
  <si>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</si>
  <si>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</si>
  <si>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</si>
  <si>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</si>
  <si>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</si>
  <si>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</si>
  <si>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</si>
  <si>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</si>
  <si>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</si>
  <si>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</si>
  <si>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</si>
  <si>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</si>
  <si>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</si>
  <si>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</si>
  <si>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</si>
  <si>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</si>
  <si>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</si>
  <si>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</si>
  <si>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</si>
  <si>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</si>
  <si>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</si>
  <si>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</si>
  <si>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</si>
  <si>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</si>
  <si>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</si>
  <si>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</si>
  <si>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</si>
  <si>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</si>
  <si>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</si>
  <si>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</si>
  <si>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</si>
  <si>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</si>
  <si>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</si>
  <si>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</si>
  <si>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</si>
  <si>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</si>
  <si>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</si>
  <si>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</si>
  <si>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</si>
  <si>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</si>
  <si>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</si>
  <si>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</si>
  <si>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</si>
  <si>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</si>
  <si>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</si>
  <si>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</si>
  <si>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</si>
  <si>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</si>
  <si>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</si>
  <si>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</si>
  <si>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</si>
  <si>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</si>
  <si>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</si>
  <si>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</si>
  <si>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</si>
  <si>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</si>
  <si>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</si>
  <si>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</si>
  <si>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STEWARTSTOWN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</si>
</sst>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24" activePane="bottomRight" state="frozen"/>
      <selection pane="topRight" activeCell="F1" sqref="F1"/>
      <selection pane="bottomLeft" activeCell="A4" sqref="A4"/>
      <selection pane="bottomRight" activeCell="F469" sqref="F4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501</v>
      </c>
      <c r="C2" s="21">
        <v>501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243800.17+36922.25+10000</f>
        <v>290722.42000000004</v>
      </c>
      <c r="G9" s="18">
        <v>9229</v>
      </c>
      <c r="H9" s="18"/>
      <c r="I9" s="18"/>
      <c r="J9" s="67">
        <f>SUM(I439)</f>
        <v>252574.29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61785.21</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1605.4</v>
      </c>
      <c r="H13" s="18">
        <v>76033.19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798.87</v>
      </c>
      <c r="G14" s="18">
        <v>147.19999999999999</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4121.1499999999996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11187</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364493.50000000006</v>
      </c>
      <c r="G19" s="41">
        <f>SUM(G9:G18)</f>
        <v>15102.75</v>
      </c>
      <c r="H19" s="41">
        <f>SUM(H9:H18)</f>
        <v>76033.19</v>
      </c>
      <c r="I19" s="41">
        <f>SUM(I9:I18)</f>
        <v>0</v>
      </c>
      <c r="J19" s="41">
        <f>SUM(J9:J18)</f>
        <v>252574.29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61785.21</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12931.95</v>
      </c>
      <c r="G24" s="18">
        <f>3159.63+371.71</f>
        <v>3531.34</v>
      </c>
      <c r="H24" s="18">
        <v>1489.62</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2307.63</v>
      </c>
      <c r="G28" s="18"/>
      <c r="H28" s="18">
        <v>6721.9</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176.54+3987.9</f>
        <v>4164.4400000000005</v>
      </c>
      <c r="G29" s="18"/>
      <c r="H29" s="18">
        <v>1465.46</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4571</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19404.020000000004</v>
      </c>
      <c r="G32" s="41">
        <f>SUM(G22:G31)</f>
        <v>3531.34</v>
      </c>
      <c r="H32" s="41">
        <f>SUM(H22:H31)</f>
        <v>76033.19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4121.1499999999996</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f>38348-1021</f>
        <v>37327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7469.77+56421.63-56441.14</f>
        <v>7450.2599999999948</v>
      </c>
      <c r="H48" s="18"/>
      <c r="I48" s="18"/>
      <c r="J48" s="13">
        <f>SUM(I459)</f>
        <v>252574.29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307762.48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345089.48</v>
      </c>
      <c r="G51" s="41">
        <f>SUM(G35:G50)</f>
        <v>11571.409999999994</v>
      </c>
      <c r="H51" s="41">
        <f>SUM(H35:H50)</f>
        <v>0</v>
      </c>
      <c r="I51" s="41">
        <f>SUM(I35:I50)</f>
        <v>0</v>
      </c>
      <c r="J51" s="41">
        <f>SUM(J35:J50)</f>
        <v>252574.29</v>
      </c>
      <c r="K51" s="45" t="s">
        <v>288</v>
      </c>
      <c r="L51" s="45" t="s">
        <v>288</v>
      </c>
      <c r="N51" s="264"/>
    </row>
    <row r="52" spans="1:14" s="3" customFormat="1" ht="12.2" customHeight="1" thickTop="1" x14ac:dyDescent="0.15">
      <c r="A52" s="38" t="s">
        <v>455</v>
      </c>
      <c r="B52" s="39" t="s">
        <v>289</v>
      </c>
      <c r="C52" s="6">
        <v>37</v>
      </c>
      <c r="D52" s="39" t="s">
        <v>653</v>
      </c>
      <c r="E52" s="39"/>
      <c r="F52" s="41">
        <f>F51+F32</f>
        <v>364493.5</v>
      </c>
      <c r="G52" s="41">
        <f>G51+G32</f>
        <v>15102.749999999995</v>
      </c>
      <c r="H52" s="41">
        <f>H51+H32</f>
        <v>76033.19</v>
      </c>
      <c r="I52" s="41">
        <f>I51+I32</f>
        <v>0</v>
      </c>
      <c r="J52" s="41">
        <f>J51+J32</f>
        <v>252574.29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1336866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1336866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814.75</v>
      </c>
      <c r="G96" s="18"/>
      <c r="H96" s="18"/>
      <c r="I96" s="18"/>
      <c r="J96" s="18">
        <v>863.38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10623.63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877.16</v>
      </c>
      <c r="G110" s="18"/>
      <c r="H110" s="18">
        <f>500+76.76</f>
        <v>576.76</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1691.9099999999999</v>
      </c>
      <c r="G111" s="41">
        <f>SUM(G96:G110)</f>
        <v>10623.63</v>
      </c>
      <c r="H111" s="41">
        <f>SUM(H96:H110)</f>
        <v>576.76</v>
      </c>
      <c r="I111" s="41">
        <f>SUM(I96:I110)</f>
        <v>0</v>
      </c>
      <c r="J111" s="41">
        <f>SUM(J96:J110)</f>
        <v>863.38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1338557.9099999999</v>
      </c>
      <c r="G112" s="41">
        <f>G60+G111</f>
        <v>10623.63</v>
      </c>
      <c r="H112" s="41">
        <f>H60+H79+H94+H111</f>
        <v>576.76</v>
      </c>
      <c r="I112" s="41">
        <f>I60+I111</f>
        <v>0</v>
      </c>
      <c r="J112" s="41">
        <f>J60+J111</f>
        <v>863.38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517093.79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156201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673294.79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9621.92</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665.82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3820.69+37035.79</f>
        <v>40856.480000000003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9621.92</v>
      </c>
      <c r="G136" s="41">
        <f>SUM(G123:G135)</f>
        <v>665.82</v>
      </c>
      <c r="H136" s="41">
        <f>SUM(H123:H135)</f>
        <v>40856.480000000003</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682916.71000000008</v>
      </c>
      <c r="G140" s="41">
        <f>G121+SUM(G136:G137)</f>
        <v>665.82</v>
      </c>
      <c r="H140" s="41">
        <f>H121+SUM(H136:H139)</f>
        <v>40856.480000000003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13834.52+85026.06+19631.96</f>
        <v>118492.54000000001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911.13+1225+9961.92+7920.92</f>
        <v>20018.97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29132.18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1595.53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7991.06</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1595.53</v>
      </c>
      <c r="G162" s="41">
        <f>SUM(G150:G161)</f>
        <v>29132.18</v>
      </c>
      <c r="H162" s="41">
        <f>SUM(H150:H161)</f>
        <v>146502.57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1595.53</v>
      </c>
      <c r="G169" s="41">
        <f>G147+G162+SUM(G163:G168)</f>
        <v>29132.18</v>
      </c>
      <c r="H169" s="41">
        <f>H147+H162+SUM(H163:H168)</f>
        <v>146502.57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16000</v>
      </c>
      <c r="H179" s="18"/>
      <c r="I179" s="18"/>
      <c r="J179" s="18">
        <v>45000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16000</v>
      </c>
      <c r="H183" s="41">
        <f>SUM(H179:H182)</f>
        <v>0</v>
      </c>
      <c r="I183" s="41">
        <f>SUM(I179:I182)</f>
        <v>0</v>
      </c>
      <c r="J183" s="41">
        <f>SUM(J179:J182)</f>
        <v>45000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16000</v>
      </c>
      <c r="H192" s="41">
        <f>+H183+SUM(H188:H191)</f>
        <v>0</v>
      </c>
      <c r="I192" s="41">
        <f>I177+I183+SUM(I188:I191)</f>
        <v>0</v>
      </c>
      <c r="J192" s="41">
        <f>J183</f>
        <v>45000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2023070.1500000001</v>
      </c>
      <c r="G193" s="47">
        <f>G112+G140+G169+G192</f>
        <v>56421.63</v>
      </c>
      <c r="H193" s="47">
        <f>H112+H140+H169+H192</f>
        <v>187935.81</v>
      </c>
      <c r="I193" s="47">
        <f>I112+I140+I169+I192</f>
        <v>0</v>
      </c>
      <c r="J193" s="47">
        <f>J112+J140+J192</f>
        <v>45863.38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274834</v>
      </c>
      <c r="G197" s="18">
        <v>172428.19</v>
      </c>
      <c r="H197" s="18">
        <f>28243.59+1141.57+6600.79</f>
        <v>35985.949999999997</v>
      </c>
      <c r="I197" s="18">
        <v>17620.66</v>
      </c>
      <c r="J197" s="18">
        <v>1972.84</v>
      </c>
      <c r="K197" s="18">
        <v>157.07</v>
      </c>
      <c r="L197" s="19">
        <f>SUM(F197:K197)</f>
        <v>502998.71</v>
      </c>
      <c r="M197" s="8"/>
      <c r="N197" s="266"/>
    </row>
    <row r="198" spans="1:14" s="3" customFormat="1" ht="12.2" customHeight="1" x14ac:dyDescent="0.15">
      <c r="A198" s="1" t="s">
        <v>439</v>
      </c>
      <c r="B198" s="2" t="s">
        <v>341</v>
      </c>
      <c r="C198" s="2" t="s">
        <v>291</v>
      </c>
      <c r="D198" s="2" t="s">
        <v>431</v>
      </c>
      <c r="E198" s="6">
        <v>1200</v>
      </c>
      <c r="F198" s="18">
        <v>134932.31</v>
      </c>
      <c r="G198" s="18">
        <v>28222.35</v>
      </c>
      <c r="H198" s="18">
        <v>18559.18</v>
      </c>
      <c r="I198" s="18">
        <v>43</v>
      </c>
      <c r="J198" s="18"/>
      <c r="K198" s="18"/>
      <c r="L198" s="19">
        <f>SUM(F198:K198)</f>
        <v>181756.84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v>166</v>
      </c>
      <c r="I200" s="18"/>
      <c r="J200" s="18"/>
      <c r="K200" s="18"/>
      <c r="L200" s="19">
        <f>SUM(F200:K200)</f>
        <v>166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19671.09</v>
      </c>
      <c r="G202" s="18">
        <v>1544.08</v>
      </c>
      <c r="H202" s="18">
        <f>126770.98+26.68</f>
        <v>126797.65999999999</v>
      </c>
      <c r="I202" s="18">
        <v>1607.96</v>
      </c>
      <c r="J202" s="18">
        <v>3600.66</v>
      </c>
      <c r="K202" s="18">
        <v>2294.4299999999998</v>
      </c>
      <c r="L202" s="19">
        <f t="shared" ref="L202:L208" si="0">SUM(F202:K202)</f>
        <v>155515.87999999998</v>
      </c>
      <c r="M202" s="8"/>
      <c r="N202" s="266"/>
    </row>
    <row r="203" spans="1:14" s="3" customFormat="1" ht="12.2" customHeight="1" x14ac:dyDescent="0.15">
      <c r="A203" s="1" t="s">
        <v>443</v>
      </c>
      <c r="B203" s="2" t="s">
        <v>341</v>
      </c>
      <c r="C203" s="2" t="s">
        <v>295</v>
      </c>
      <c r="D203" s="2" t="s">
        <v>431</v>
      </c>
      <c r="E203" s="6">
        <v>2200</v>
      </c>
      <c r="F203" s="18">
        <v>27444.63</v>
      </c>
      <c r="G203" s="18">
        <v>2150.23</v>
      </c>
      <c r="H203" s="18">
        <v>360.14</v>
      </c>
      <c r="I203" s="18">
        <v>1875.46</v>
      </c>
      <c r="J203" s="18"/>
      <c r="K203" s="18">
        <f>1097.7+1879</f>
        <v>2976.7</v>
      </c>
      <c r="L203" s="19">
        <f t="shared" si="0"/>
        <v>34807.159999999996</v>
      </c>
      <c r="M203" s="8"/>
      <c r="N203" s="266"/>
    </row>
    <row r="204" spans="1:14" s="3" customFormat="1" ht="12.2" customHeight="1" x14ac:dyDescent="0.15">
      <c r="A204" s="1" t="s">
        <v>444</v>
      </c>
      <c r="B204" s="2" t="s">
        <v>341</v>
      </c>
      <c r="C204" s="2" t="s">
        <v>296</v>
      </c>
      <c r="D204" s="2" t="s">
        <v>431</v>
      </c>
      <c r="E204" s="6">
        <v>2300</v>
      </c>
      <c r="F204" s="18">
        <v>2472.77</v>
      </c>
      <c r="G204" s="18">
        <v>193.79</v>
      </c>
      <c r="H204" s="18">
        <f>126005.36+3584.72</f>
        <v>129590.08</v>
      </c>
      <c r="I204" s="18">
        <v>504.19</v>
      </c>
      <c r="J204" s="18"/>
      <c r="K204" s="18">
        <v>2645.8</v>
      </c>
      <c r="L204" s="19">
        <f t="shared" si="0"/>
        <v>135406.63</v>
      </c>
      <c r="M204" s="8"/>
      <c r="N204" s="266"/>
    </row>
    <row r="205" spans="1:14" s="3" customFormat="1" ht="12.2" customHeight="1" x14ac:dyDescent="0.15">
      <c r="A205" s="1" t="s">
        <v>445</v>
      </c>
      <c r="B205" s="2" t="s">
        <v>341</v>
      </c>
      <c r="C205" s="2" t="s">
        <v>297</v>
      </c>
      <c r="D205" s="2" t="s">
        <v>431</v>
      </c>
      <c r="E205" s="6">
        <v>2400</v>
      </c>
      <c r="F205" s="18">
        <v>90683.64</v>
      </c>
      <c r="G205" s="18">
        <v>49941.06</v>
      </c>
      <c r="H205" s="18">
        <f>2402.33+156.11+3069.84</f>
        <v>5628.2800000000007</v>
      </c>
      <c r="I205" s="18">
        <v>2571.34</v>
      </c>
      <c r="J205" s="18">
        <v>697.69</v>
      </c>
      <c r="K205" s="18">
        <v>1469</v>
      </c>
      <c r="L205" s="19">
        <f t="shared" si="0"/>
        <v>150991.01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31520.85</v>
      </c>
      <c r="G207" s="18">
        <v>6015.53</v>
      </c>
      <c r="H207" s="18">
        <f>23557.86+15661.84+6089.67</f>
        <v>45309.369999999995</v>
      </c>
      <c r="I207" s="18">
        <v>33904.620000000003</v>
      </c>
      <c r="J207" s="18">
        <v>3078.47</v>
      </c>
      <c r="K207" s="18">
        <v>1808.4</v>
      </c>
      <c r="L207" s="19">
        <f t="shared" si="0"/>
        <v>121637.23999999999</v>
      </c>
      <c r="M207" s="8"/>
      <c r="N207" s="266"/>
    </row>
    <row r="208" spans="1:14" s="3" customFormat="1" ht="12.2" customHeight="1" x14ac:dyDescent="0.15">
      <c r="A208" s="1" t="s">
        <v>448</v>
      </c>
      <c r="B208" s="2" t="s">
        <v>341</v>
      </c>
      <c r="C208" s="2" t="s">
        <v>300</v>
      </c>
      <c r="D208" s="2" t="s">
        <v>431</v>
      </c>
      <c r="E208" s="6">
        <v>2700</v>
      </c>
      <c r="F208" s="18">
        <v>38312.839999999997</v>
      </c>
      <c r="G208" s="18">
        <v>3800.66</v>
      </c>
      <c r="H208" s="18">
        <f>28171.92+3810.36</f>
        <v>31982.28</v>
      </c>
      <c r="I208" s="18">
        <v>12108.22</v>
      </c>
      <c r="J208" s="18"/>
      <c r="K208" s="18">
        <v>1458.03</v>
      </c>
      <c r="L208" s="19">
        <f t="shared" si="0"/>
        <v>87662.03</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619872.13</v>
      </c>
      <c r="G211" s="41">
        <f t="shared" si="1"/>
        <v>264295.89</v>
      </c>
      <c r="H211" s="41">
        <f t="shared" si="1"/>
        <v>394378.94000000006</v>
      </c>
      <c r="I211" s="41">
        <f t="shared" si="1"/>
        <v>70235.45</v>
      </c>
      <c r="J211" s="41">
        <f t="shared" si="1"/>
        <v>9349.66</v>
      </c>
      <c r="K211" s="41">
        <f t="shared" si="1"/>
        <v>12809.43</v>
      </c>
      <c r="L211" s="41">
        <f t="shared" si="1"/>
        <v>1370941.5</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573840.47</v>
      </c>
      <c r="I233" s="18"/>
      <c r="J233" s="18"/>
      <c r="K233" s="18"/>
      <c r="L233" s="19">
        <f>SUM(F233:K233)</f>
        <v>573840.47</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947.56</v>
      </c>
      <c r="I238" s="18"/>
      <c r="J238" s="18"/>
      <c r="K238" s="18"/>
      <c r="L238" s="19">
        <f t="shared" ref="L238:L244" si="4">SUM(F238:K238)</f>
        <v>947.56</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1580.57</v>
      </c>
      <c r="G240" s="18">
        <v>123.21</v>
      </c>
      <c r="H240" s="18">
        <f>2425.8+103.2</f>
        <v>2529</v>
      </c>
      <c r="I240" s="18">
        <v>37.28</v>
      </c>
      <c r="J240" s="18"/>
      <c r="K240" s="18">
        <v>896.45</v>
      </c>
      <c r="L240" s="19">
        <f t="shared" si="4"/>
        <v>5166.5099999999993</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v>12618.66</v>
      </c>
      <c r="G244" s="18">
        <v>1328.25</v>
      </c>
      <c r="H244" s="18">
        <f>11374.36+158.55</f>
        <v>11532.91</v>
      </c>
      <c r="I244" s="18">
        <v>5182.6499999999996</v>
      </c>
      <c r="J244" s="18"/>
      <c r="K244" s="18">
        <v>470.07</v>
      </c>
      <c r="L244" s="19">
        <f t="shared" si="4"/>
        <v>31132.54</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14199.23</v>
      </c>
      <c r="G247" s="41">
        <f t="shared" si="5"/>
        <v>1451.46</v>
      </c>
      <c r="H247" s="41">
        <f t="shared" si="5"/>
        <v>588849.94000000006</v>
      </c>
      <c r="I247" s="41">
        <f t="shared" si="5"/>
        <v>5219.9299999999994</v>
      </c>
      <c r="J247" s="41">
        <f t="shared" si="5"/>
        <v>0</v>
      </c>
      <c r="K247" s="41">
        <f t="shared" si="5"/>
        <v>1366.52</v>
      </c>
      <c r="L247" s="41">
        <f t="shared" si="5"/>
        <v>611087.08000000007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634071.36</v>
      </c>
      <c r="G257" s="41">
        <f t="shared" si="8"/>
        <v>265747.35000000003</v>
      </c>
      <c r="H257" s="41">
        <f t="shared" si="8"/>
        <v>983228.88000000012</v>
      </c>
      <c r="I257" s="41">
        <f t="shared" si="8"/>
        <v>75455.37999999999</v>
      </c>
      <c r="J257" s="41">
        <f t="shared" si="8"/>
        <v>9349.66</v>
      </c>
      <c r="K257" s="41">
        <f t="shared" si="8"/>
        <v>14175.95</v>
      </c>
      <c r="L257" s="41">
        <f t="shared" si="8"/>
        <v>1982028.58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16000</v>
      </c>
      <c r="L263" s="19">
        <f>SUM(F263:K263)</f>
        <v>16000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45000</v>
      </c>
      <c r="L266" s="19">
        <f t="shared" si="9"/>
        <v>45000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12924.34</v>
      </c>
      <c r="L268" s="19">
        <f t="shared" si="9"/>
        <v>12924.34</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73924.34</v>
      </c>
      <c r="L270" s="41">
        <f t="shared" si="9"/>
        <v>73924.34</v>
      </c>
      <c r="N270" s="264"/>
    </row>
    <row r="271" spans="1:14" s="3" customFormat="1" ht="12.2" customHeight="1" thickTop="1" x14ac:dyDescent="0.2">
      <c r="A271" s="43" t="s">
        <v>464</v>
      </c>
      <c r="B271" s="40">
        <v>10</v>
      </c>
      <c r="C271" s="40">
        <v>18</v>
      </c>
      <c r="D271" s="39" t="s">
        <v>431</v>
      </c>
      <c r="E271" s="40"/>
      <c r="F271" s="42">
        <f t="shared" ref="F271:L271" si="11">F257+F270</f>
        <v>634071.36</v>
      </c>
      <c r="G271" s="42">
        <f t="shared" si="11"/>
        <v>265747.35000000003</v>
      </c>
      <c r="H271" s="42">
        <f t="shared" si="11"/>
        <v>983228.88000000012</v>
      </c>
      <c r="I271" s="42">
        <f t="shared" si="11"/>
        <v>75455.37999999999</v>
      </c>
      <c r="J271" s="42">
        <f t="shared" si="11"/>
        <v>9349.66</v>
      </c>
      <c r="K271" s="42">
        <f t="shared" si="11"/>
        <v>88100.29</v>
      </c>
      <c r="L271" s="42">
        <f t="shared" si="11"/>
        <v>2055952.9200000002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55349</v>
      </c>
      <c r="G276" s="18">
        <v>21325.54</v>
      </c>
      <c r="H276" s="18"/>
      <c r="I276" s="18">
        <v>76.760000000000005</v>
      </c>
      <c r="J276" s="18"/>
      <c r="K276" s="18"/>
      <c r="L276" s="19">
        <f>SUM(F276:K276)</f>
        <v>76751.3</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8858</v>
      </c>
      <c r="G279" s="18">
        <v>2215.38</v>
      </c>
      <c r="H279" s="18"/>
      <c r="I279" s="18"/>
      <c r="J279" s="18"/>
      <c r="K279" s="18"/>
      <c r="L279" s="19">
        <f>SUM(F279:K279)</f>
        <v>11073.380000000001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3920.25</v>
      </c>
      <c r="G281" s="18">
        <v>303.61</v>
      </c>
      <c r="H281" s="18">
        <f>500+3031.93+3221.16</f>
        <v>6753.09</v>
      </c>
      <c r="I281" s="18">
        <v>38</v>
      </c>
      <c r="J281" s="18"/>
      <c r="K281" s="18">
        <v>599.53</v>
      </c>
      <c r="L281" s="19">
        <f t="shared" ref="L281:L287" si="12">SUM(F281:K281)</f>
        <v>11614.480000000001</v>
      </c>
      <c r="M281" s="8"/>
      <c r="N281" s="266"/>
    </row>
    <row r="282" spans="1:14" s="3" customFormat="1" ht="12.2" customHeight="1" x14ac:dyDescent="0.15">
      <c r="A282" s="1" t="s">
        <v>443</v>
      </c>
      <c r="B282" s="2" t="s">
        <v>357</v>
      </c>
      <c r="C282" s="2" t="s">
        <v>295</v>
      </c>
      <c r="D282" s="2" t="s">
        <v>431</v>
      </c>
      <c r="E282" s="6">
        <v>2200</v>
      </c>
      <c r="F282" s="18">
        <v>7662.6</v>
      </c>
      <c r="G282" s="18">
        <v>7024.84</v>
      </c>
      <c r="H282" s="18">
        <f>15864+3161.59</f>
        <v>19025.59</v>
      </c>
      <c r="I282" s="18">
        <v>356.73</v>
      </c>
      <c r="J282" s="18"/>
      <c r="K282" s="18">
        <v>1638.75</v>
      </c>
      <c r="L282" s="19">
        <f t="shared" si="12"/>
        <v>35708.51</v>
      </c>
      <c r="M282" s="8"/>
      <c r="N282" s="266"/>
    </row>
    <row r="283" spans="1:14" s="3" customFormat="1" ht="12.2" customHeight="1" x14ac:dyDescent="0.15">
      <c r="A283" s="1" t="s">
        <v>444</v>
      </c>
      <c r="B283" s="2" t="s">
        <v>357</v>
      </c>
      <c r="C283" s="2" t="s">
        <v>296</v>
      </c>
      <c r="D283" s="2" t="s">
        <v>431</v>
      </c>
      <c r="E283" s="6">
        <v>2300</v>
      </c>
      <c r="F283" s="18">
        <v>5825</v>
      </c>
      <c r="G283" s="18">
        <v>1435.57</v>
      </c>
      <c r="H283" s="18"/>
      <c r="I283" s="18"/>
      <c r="J283" s="18"/>
      <c r="K283" s="18"/>
      <c r="L283" s="19">
        <f t="shared" si="12"/>
        <v>7260.57</v>
      </c>
      <c r="M283" s="8"/>
      <c r="N283" s="266"/>
    </row>
    <row r="284" spans="1:14" s="3" customFormat="1" ht="12.2" customHeight="1" x14ac:dyDescent="0.15">
      <c r="A284" s="1" t="s">
        <v>445</v>
      </c>
      <c r="B284" s="2" t="s">
        <v>357</v>
      </c>
      <c r="C284" s="2" t="s">
        <v>297</v>
      </c>
      <c r="D284" s="2" t="s">
        <v>431</v>
      </c>
      <c r="E284" s="6">
        <v>2400</v>
      </c>
      <c r="F284" s="18">
        <v>2816</v>
      </c>
      <c r="G284" s="18">
        <v>703.96</v>
      </c>
      <c r="H284" s="18"/>
      <c r="I284" s="18"/>
      <c r="J284" s="18"/>
      <c r="K284" s="18"/>
      <c r="L284" s="19">
        <f t="shared" si="12"/>
        <v>3519.96</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3422.46</v>
      </c>
      <c r="L285" s="19">
        <f t="shared" si="12"/>
        <v>3422.46</v>
      </c>
      <c r="M285" s="8"/>
      <c r="N285" s="266"/>
    </row>
    <row r="286" spans="1:14" s="3" customFormat="1" ht="12.2" customHeight="1" x14ac:dyDescent="0.15">
      <c r="A286" s="1" t="s">
        <v>447</v>
      </c>
      <c r="B286" s="2" t="s">
        <v>357</v>
      </c>
      <c r="C286" s="2" t="s">
        <v>299</v>
      </c>
      <c r="D286" s="2" t="s">
        <v>431</v>
      </c>
      <c r="E286" s="6">
        <v>2600</v>
      </c>
      <c r="F286" s="18"/>
      <c r="G286" s="18"/>
      <c r="H286" s="18">
        <v>37035.79</v>
      </c>
      <c r="I286" s="18"/>
      <c r="J286" s="18"/>
      <c r="K286" s="18"/>
      <c r="L286" s="19">
        <f t="shared" si="12"/>
        <v>37035.79</v>
      </c>
      <c r="M286" s="8"/>
      <c r="N286" s="266"/>
    </row>
    <row r="287" spans="1:14" s="3" customFormat="1" ht="12.2" customHeight="1" x14ac:dyDescent="0.15">
      <c r="A287" s="1" t="s">
        <v>448</v>
      </c>
      <c r="B287" s="2" t="s">
        <v>357</v>
      </c>
      <c r="C287" s="2" t="s">
        <v>300</v>
      </c>
      <c r="D287" s="2" t="s">
        <v>431</v>
      </c>
      <c r="E287" s="6">
        <v>2700</v>
      </c>
      <c r="F287" s="18">
        <v>1439.27</v>
      </c>
      <c r="G287" s="18">
        <v>110.09</v>
      </c>
      <c r="H287" s="18"/>
      <c r="I287" s="18"/>
      <c r="J287" s="18"/>
      <c r="K287" s="18"/>
      <c r="L287" s="19">
        <f t="shared" si="12"/>
        <v>1549.36</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85870.12000000001</v>
      </c>
      <c r="G290" s="42">
        <f t="shared" si="13"/>
        <v>33118.99</v>
      </c>
      <c r="H290" s="42">
        <f t="shared" si="13"/>
        <v>62814.47</v>
      </c>
      <c r="I290" s="42">
        <f t="shared" si="13"/>
        <v>471.49</v>
      </c>
      <c r="J290" s="42">
        <f t="shared" si="13"/>
        <v>0</v>
      </c>
      <c r="K290" s="42">
        <f t="shared" si="13"/>
        <v>5660.74</v>
      </c>
      <c r="L290" s="41">
        <f t="shared" si="13"/>
        <v>187935.81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85870.12000000001</v>
      </c>
      <c r="G338" s="41">
        <f t="shared" si="20"/>
        <v>33118.99</v>
      </c>
      <c r="H338" s="41">
        <f t="shared" si="20"/>
        <v>62814.47</v>
      </c>
      <c r="I338" s="41">
        <f t="shared" si="20"/>
        <v>471.49</v>
      </c>
      <c r="J338" s="41">
        <f t="shared" si="20"/>
        <v>0</v>
      </c>
      <c r="K338" s="41">
        <f t="shared" si="20"/>
        <v>5660.74</v>
      </c>
      <c r="L338" s="41">
        <f t="shared" si="20"/>
        <v>187935.81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85870.12000000001</v>
      </c>
      <c r="G352" s="41">
        <f>G338</f>
        <v>33118.99</v>
      </c>
      <c r="H352" s="41">
        <f>H338</f>
        <v>62814.47</v>
      </c>
      <c r="I352" s="41">
        <f>I338</f>
        <v>471.49</v>
      </c>
      <c r="J352" s="41">
        <f>J338</f>
        <v>0</v>
      </c>
      <c r="K352" s="47">
        <f>K338+K351</f>
        <v>5660.74</v>
      </c>
      <c r="L352" s="41">
        <f>L338+L351</f>
        <v>187935.81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v>19.66</v>
      </c>
      <c r="H358" s="18">
        <f>2153.11+172.5+51933.39+1845.87</f>
        <v>56104.87</v>
      </c>
      <c r="I358" s="18">
        <v>316.61</v>
      </c>
      <c r="J358" s="18"/>
      <c r="K358" s="18"/>
      <c r="L358" s="13">
        <f>SUM(F358:K358)</f>
        <v>56441.140000000007</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19.66</v>
      </c>
      <c r="H362" s="47">
        <f t="shared" si="22"/>
        <v>56104.87</v>
      </c>
      <c r="I362" s="47">
        <f t="shared" si="22"/>
        <v>316.61</v>
      </c>
      <c r="J362" s="47">
        <f t="shared" si="22"/>
        <v>0</v>
      </c>
      <c r="K362" s="47">
        <f t="shared" si="22"/>
        <v>0</v>
      </c>
      <c r="L362" s="47">
        <f t="shared" si="22"/>
        <v>56441.140000000007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316.61</v>
      </c>
      <c r="G368" s="63"/>
      <c r="H368" s="63"/>
      <c r="I368" s="56">
        <f>SUM(F368:H368)</f>
        <v>316.61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316.61</v>
      </c>
      <c r="G369" s="47">
        <f>SUM(G367:G368)</f>
        <v>0</v>
      </c>
      <c r="H369" s="47">
        <f>SUM(H367:H368)</f>
        <v>0</v>
      </c>
      <c r="I369" s="47">
        <f>SUM(I367:I368)</f>
        <v>316.61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25000</v>
      </c>
      <c r="H396" s="18">
        <v>80.349999999999994</v>
      </c>
      <c r="I396" s="18"/>
      <c r="J396" s="24" t="s">
        <v>288</v>
      </c>
      <c r="K396" s="24" t="s">
        <v>288</v>
      </c>
      <c r="L396" s="56">
        <f t="shared" si="26"/>
        <v>25080.35</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v>692.15</v>
      </c>
      <c r="I398" s="18"/>
      <c r="J398" s="24" t="s">
        <v>288</v>
      </c>
      <c r="K398" s="24" t="s">
        <v>288</v>
      </c>
      <c r="L398" s="56">
        <f t="shared" si="26"/>
        <v>692.15</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20000</v>
      </c>
      <c r="H400" s="18">
        <f>4.96+85.92</f>
        <v>90.88</v>
      </c>
      <c r="I400" s="18"/>
      <c r="J400" s="24" t="s">
        <v>288</v>
      </c>
      <c r="K400" s="24" t="s">
        <v>288</v>
      </c>
      <c r="L400" s="56">
        <f t="shared" si="26"/>
        <v>20090.88</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45000</v>
      </c>
      <c r="H401" s="47">
        <f>SUM(H395:H400)</f>
        <v>863.38</v>
      </c>
      <c r="I401" s="47">
        <f>SUM(I395:I400)</f>
        <v>0</v>
      </c>
      <c r="J401" s="45" t="s">
        <v>288</v>
      </c>
      <c r="K401" s="45" t="s">
        <v>288</v>
      </c>
      <c r="L401" s="47">
        <f>SUM(L395:L400)</f>
        <v>45863.380000000005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45000</v>
      </c>
      <c r="H408" s="47">
        <f>H393+H401+H407</f>
        <v>863.38</v>
      </c>
      <c r="I408" s="47">
        <f>I393+I401+I407</f>
        <v>0</v>
      </c>
      <c r="J408" s="24" t="s">
        <v>288</v>
      </c>
      <c r="K408" s="24" t="s">
        <v>288</v>
      </c>
      <c r="L408" s="47">
        <f>L393+L401+L407</f>
        <v>45863.380000000005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252574.29</v>
      </c>
      <c r="H439" s="18"/>
      <c r="I439" s="56">
        <f t="shared" ref="I439:I445" si="33">SUM(F439:H439)</f>
        <v>252574.29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252574.29</v>
      </c>
      <c r="H446" s="13">
        <f>SUM(H439:H445)</f>
        <v>0</v>
      </c>
      <c r="I446" s="13">
        <f>SUM(I439:I445)</f>
        <v>252574.29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252574.29</v>
      </c>
      <c r="H459" s="18"/>
      <c r="I459" s="56">
        <f t="shared" si="34"/>
        <v>252574.29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252574.29</v>
      </c>
      <c r="H460" s="83">
        <f>SUM(H454:H459)</f>
        <v>0</v>
      </c>
      <c r="I460" s="83">
        <f>SUM(I454:I459)</f>
        <v>252574.29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252574.29</v>
      </c>
      <c r="H461" s="42">
        <f>H452+H460</f>
        <v>0</v>
      </c>
      <c r="I461" s="42">
        <f>I452+I460</f>
        <v>252574.29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377972.25</v>
      </c>
      <c r="G465" s="18">
        <v>9572.42</v>
      </c>
      <c r="H465" s="18"/>
      <c r="I465" s="18"/>
      <c r="J465" s="18">
        <v>206710.91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2023070.15</v>
      </c>
      <c r="G468" s="18">
        <v>56421.63</v>
      </c>
      <c r="H468" s="18">
        <v>187935.81</v>
      </c>
      <c r="I468" s="18"/>
      <c r="J468" s="18">
        <v>45863.38</v>
      </c>
      <c r="K468" s="24" t="s">
        <v>288</v>
      </c>
      <c r="L468" s="24" t="s">
        <v>288</v>
      </c>
      <c r="N468" s="265"/>
    </row>
    <row r="469" spans="1:14" s="52" customFormat="1" ht="12.2" customHeight="1" x14ac:dyDescent="0.2">
      <c r="A469" s="93" t="s">
        <v>611</v>
      </c>
      <c r="B469" s="75">
        <v>19</v>
      </c>
      <c r="C469" s="80">
        <v>3</v>
      </c>
      <c r="D469" s="2" t="s">
        <v>432</v>
      </c>
      <c r="E469" s="80"/>
      <c r="F469" s="18"/>
      <c r="G469" s="18">
        <v>2018.5</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2023070.15</v>
      </c>
      <c r="G470" s="53">
        <f>SUM(G468:G469)</f>
        <v>58440.13</v>
      </c>
      <c r="H470" s="53">
        <f>SUM(H468:H469)</f>
        <v>187935.81</v>
      </c>
      <c r="I470" s="53">
        <f>SUM(I468:I469)</f>
        <v>0</v>
      </c>
      <c r="J470" s="53">
        <f>SUM(J468:J469)</f>
        <v>45863.38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2055952.92</v>
      </c>
      <c r="G472" s="18">
        <v>56441.14</v>
      </c>
      <c r="H472" s="18">
        <v>187935.81</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2055952.92</v>
      </c>
      <c r="G474" s="53">
        <f>SUM(G472:G473)</f>
        <v>56441.14</v>
      </c>
      <c r="H474" s="53">
        <f>SUM(H472:H473)</f>
        <v>187935.81</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345089.48</v>
      </c>
      <c r="G476" s="53">
        <f>(G465+G470)- G474</f>
        <v>11571.410000000003</v>
      </c>
      <c r="H476" s="53">
        <f>(H465+H470)- H474</f>
        <v>0</v>
      </c>
      <c r="I476" s="53">
        <f>(I465+I470)- I474</f>
        <v>0</v>
      </c>
      <c r="J476" s="53">
        <f>(J465+J470)- J474</f>
        <v>252574.29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134932.31</v>
      </c>
      <c r="G521" s="18">
        <v>28222.35</v>
      </c>
      <c r="H521" s="18">
        <v>18559.18</v>
      </c>
      <c r="I521" s="18">
        <v>43</v>
      </c>
      <c r="J521" s="18"/>
      <c r="K521" s="18"/>
      <c r="L521" s="88">
        <f>SUM(F521:K521)</f>
        <v>181756.84</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134932.31</v>
      </c>
      <c r="G524" s="108">
        <f t="shared" ref="G524:L524" si="36">SUM(G521:G523)</f>
        <v>28222.35</v>
      </c>
      <c r="H524" s="108">
        <f t="shared" si="36"/>
        <v>18559.18</v>
      </c>
      <c r="I524" s="108">
        <f t="shared" si="36"/>
        <v>43</v>
      </c>
      <c r="J524" s="108">
        <f t="shared" si="36"/>
        <v>0</v>
      </c>
      <c r="K524" s="108">
        <f t="shared" si="36"/>
        <v>0</v>
      </c>
      <c r="L524" s="89">
        <f t="shared" si="36"/>
        <v>181756.84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7661.1</v>
      </c>
      <c r="G526" s="18">
        <v>606.80999999999995</v>
      </c>
      <c r="H526" s="18">
        <f>5107.32+6380.8</f>
        <v>11488.119999999999</v>
      </c>
      <c r="I526" s="18">
        <v>145.72999999999999</v>
      </c>
      <c r="J526" s="18"/>
      <c r="K526" s="18"/>
      <c r="L526" s="88">
        <f>SUM(F526:K526)</f>
        <v>19901.759999999998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f>1276.83+947.56</f>
        <v>2224.39</v>
      </c>
      <c r="I528" s="18"/>
      <c r="J528" s="18"/>
      <c r="K528" s="18"/>
      <c r="L528" s="88">
        <f>SUM(F528:K528)</f>
        <v>2224.39</v>
      </c>
      <c r="M528" s="8"/>
      <c r="N528" s="266"/>
    </row>
    <row r="529" spans="1:14" s="3" customFormat="1" ht="12.2" customHeight="1" thickTop="1" x14ac:dyDescent="0.15">
      <c r="A529" s="139" t="s">
        <v>65</v>
      </c>
      <c r="B529" s="107">
        <v>21</v>
      </c>
      <c r="C529" s="107">
        <v>8</v>
      </c>
      <c r="D529" s="158" t="s">
        <v>432</v>
      </c>
      <c r="E529" s="107"/>
      <c r="F529" s="89">
        <f>SUM(F526:F528)</f>
        <v>7661.1</v>
      </c>
      <c r="G529" s="89">
        <f t="shared" ref="G529:L529" si="37">SUM(G526:G528)</f>
        <v>606.80999999999995</v>
      </c>
      <c r="H529" s="89">
        <f t="shared" si="37"/>
        <v>13712.509999999998</v>
      </c>
      <c r="I529" s="89">
        <f t="shared" si="37"/>
        <v>145.72999999999999</v>
      </c>
      <c r="J529" s="89">
        <f t="shared" si="37"/>
        <v>0</v>
      </c>
      <c r="K529" s="89">
        <f t="shared" si="37"/>
        <v>0</v>
      </c>
      <c r="L529" s="89">
        <f t="shared" si="37"/>
        <v>22126.149999999998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7849</v>
      </c>
      <c r="I531" s="18"/>
      <c r="J531" s="18"/>
      <c r="K531" s="18"/>
      <c r="L531" s="88">
        <f>SUM(F531:K531)</f>
        <v>7849</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4511</v>
      </c>
      <c r="I533" s="18"/>
      <c r="J533" s="18"/>
      <c r="K533" s="18"/>
      <c r="L533" s="88">
        <f>SUM(F533:K533)</f>
        <v>4511</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12360</v>
      </c>
      <c r="I534" s="89">
        <f t="shared" si="38"/>
        <v>0</v>
      </c>
      <c r="J534" s="89">
        <f t="shared" si="38"/>
        <v>0</v>
      </c>
      <c r="K534" s="89">
        <f t="shared" si="38"/>
        <v>0</v>
      </c>
      <c r="L534" s="89">
        <f t="shared" si="38"/>
        <v>12360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468.75</v>
      </c>
      <c r="I541" s="18"/>
      <c r="J541" s="18"/>
      <c r="K541" s="18"/>
      <c r="L541" s="88">
        <f>SUM(F541:K541)</f>
        <v>468.75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468.75</v>
      </c>
      <c r="I544" s="193">
        <f t="shared" si="40"/>
        <v>0</v>
      </c>
      <c r="J544" s="193">
        <f t="shared" si="40"/>
        <v>0</v>
      </c>
      <c r="K544" s="193">
        <f t="shared" si="40"/>
        <v>0</v>
      </c>
      <c r="L544" s="193">
        <f t="shared" si="40"/>
        <v>468.75</v>
      </c>
      <c r="M544" s="8"/>
      <c r="N544" s="266"/>
    </row>
    <row r="545" spans="1:14" s="3" customFormat="1" ht="12.2" customHeight="1" thickTop="1" x14ac:dyDescent="0.15">
      <c r="A545" s="98" t="s">
        <v>72</v>
      </c>
      <c r="B545" s="107">
        <v>21</v>
      </c>
      <c r="C545" s="107">
        <v>21</v>
      </c>
      <c r="D545" s="158" t="s">
        <v>432</v>
      </c>
      <c r="E545" s="107"/>
      <c r="F545" s="89">
        <f>F524+F529+F534+F539+F544</f>
        <v>142593.41</v>
      </c>
      <c r="G545" s="89">
        <f t="shared" ref="G545:L545" si="41">G524+G529+G534+G539+G544</f>
        <v>28829.16</v>
      </c>
      <c r="H545" s="89">
        <f t="shared" si="41"/>
        <v>45100.44</v>
      </c>
      <c r="I545" s="89">
        <f t="shared" si="41"/>
        <v>188.73</v>
      </c>
      <c r="J545" s="89">
        <f t="shared" si="41"/>
        <v>0</v>
      </c>
      <c r="K545" s="89">
        <f t="shared" si="41"/>
        <v>0</v>
      </c>
      <c r="L545" s="89">
        <f t="shared" si="41"/>
        <v>216711.74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181756.84</v>
      </c>
      <c r="G549" s="87">
        <f>L526</f>
        <v>19901.759999999998</v>
      </c>
      <c r="H549" s="87">
        <f>L531</f>
        <v>7849</v>
      </c>
      <c r="I549" s="87">
        <f>L536</f>
        <v>0</v>
      </c>
      <c r="J549" s="87">
        <f>L541</f>
        <v>468.75</v>
      </c>
      <c r="K549" s="87">
        <f>SUM(F549:J549)</f>
        <v>209976.35</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2224.39</v>
      </c>
      <c r="H551" s="87">
        <f>L533</f>
        <v>4511</v>
      </c>
      <c r="I551" s="87">
        <f>L538</f>
        <v>0</v>
      </c>
      <c r="J551" s="87">
        <f>L543</f>
        <v>0</v>
      </c>
      <c r="K551" s="87">
        <f>SUM(F551:J551)</f>
        <v>6735.3899999999994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181756.84</v>
      </c>
      <c r="G552" s="89">
        <f t="shared" si="42"/>
        <v>22126.149999999998</v>
      </c>
      <c r="H552" s="89">
        <f t="shared" si="42"/>
        <v>12360</v>
      </c>
      <c r="I552" s="89">
        <f t="shared" si="42"/>
        <v>0</v>
      </c>
      <c r="J552" s="89">
        <f t="shared" si="42"/>
        <v>468.75</v>
      </c>
      <c r="K552" s="89">
        <f t="shared" si="42"/>
        <v>216711.74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226690.47</v>
      </c>
      <c r="I575" s="87">
        <f>SUM(F575:H575)</f>
        <v>226690.47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347150</v>
      </c>
      <c r="I576" s="87">
        <f t="shared" ref="I576:I587" si="47">SUM(F576:H576)</f>
        <v>347150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86459.8-1549.36</f>
        <v>84910.44</v>
      </c>
      <c r="I591" s="18"/>
      <c r="J591" s="18">
        <v>31132.54</v>
      </c>
      <c r="K591" s="104">
        <f t="shared" ref="K591:K597" si="48">SUM(H591:J591)</f>
        <v>116042.98000000001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468.75</v>
      </c>
      <c r="I592" s="18"/>
      <c r="J592" s="18"/>
      <c r="K592" s="104">
        <f t="shared" si="48"/>
        <v>468.75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1427.98</v>
      </c>
      <c r="I595" s="18"/>
      <c r="J595" s="18"/>
      <c r="K595" s="104">
        <f t="shared" si="48"/>
        <v>1427.98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854.86</v>
      </c>
      <c r="I597" s="18"/>
      <c r="J597" s="18"/>
      <c r="K597" s="104">
        <f t="shared" si="48"/>
        <v>854.86</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87662.03</v>
      </c>
      <c r="I598" s="108">
        <f>SUM(I591:I597)</f>
        <v>0</v>
      </c>
      <c r="J598" s="108">
        <f>SUM(J591:J597)</f>
        <v>31132.54</v>
      </c>
      <c r="K598" s="108">
        <f>SUM(K591:K597)</f>
        <v>118794.57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9349.66</v>
      </c>
      <c r="I604" s="18"/>
      <c r="J604" s="18"/>
      <c r="K604" s="104">
        <f>SUM(H604:J604)</f>
        <v>9349.66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9349.66</v>
      </c>
      <c r="I605" s="108">
        <f>SUM(I602:I604)</f>
        <v>0</v>
      </c>
      <c r="J605" s="108">
        <f>SUM(J602:J604)</f>
        <v>0</v>
      </c>
      <c r="K605" s="108">
        <f>SUM(K602:K604)</f>
        <v>9349.66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8858</f>
        <v>8858</v>
      </c>
      <c r="G611" s="18">
        <f>677.63+1537.75</f>
        <v>2215.38</v>
      </c>
      <c r="H611" s="18">
        <v>130</v>
      </c>
      <c r="I611" s="18"/>
      <c r="J611" s="18"/>
      <c r="K611" s="18"/>
      <c r="L611" s="88">
        <f>SUM(F611:K611)</f>
        <v>11203.380000000001</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8858</v>
      </c>
      <c r="G614" s="108">
        <f t="shared" si="49"/>
        <v>2215.38</v>
      </c>
      <c r="H614" s="108">
        <f t="shared" si="49"/>
        <v>130</v>
      </c>
      <c r="I614" s="108">
        <f t="shared" si="49"/>
        <v>0</v>
      </c>
      <c r="J614" s="108">
        <f t="shared" si="49"/>
        <v>0</v>
      </c>
      <c r="K614" s="108">
        <f t="shared" si="49"/>
        <v>0</v>
      </c>
      <c r="L614" s="89">
        <f t="shared" si="49"/>
        <v>11203.380000000001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364493.50000000006</v>
      </c>
      <c r="H617" s="109">
        <f>SUM(F52)</f>
        <v>364493.5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15102.75</v>
      </c>
      <c r="H618" s="109">
        <f>SUM(G52)</f>
        <v>15102.749999999995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76033.19</v>
      </c>
      <c r="H619" s="109">
        <f>SUM(H52)</f>
        <v>76033.19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252574.29</v>
      </c>
      <c r="H621" s="109">
        <f>SUM(J52)</f>
        <v>252574.29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345089.48</v>
      </c>
      <c r="H622" s="109">
        <f>F476</f>
        <v>345089.48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11571.409999999994</v>
      </c>
      <c r="H623" s="109">
        <f>G476</f>
        <v>11571.410000000003</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252574.29</v>
      </c>
      <c r="H626" s="109">
        <f>J476</f>
        <v>252574.29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2023070.1500000001</v>
      </c>
      <c r="H627" s="104">
        <f>SUM(F468)</f>
        <v>2023070.15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56421.63</v>
      </c>
      <c r="H628" s="104">
        <f>SUM(G468)</f>
        <v>56421.63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187935.81</v>
      </c>
      <c r="H629" s="104">
        <f>SUM(H468)</f>
        <v>187935.81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45863.38</v>
      </c>
      <c r="H631" s="104">
        <f>SUM(J468)</f>
        <v>45863.38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2055952.9200000002</v>
      </c>
      <c r="H632" s="104">
        <f>SUM(F472)</f>
        <v>2055952.92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187935.81</v>
      </c>
      <c r="H633" s="104">
        <f>SUM(H472)</f>
        <v>187935.81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316.61</v>
      </c>
      <c r="H634" s="104">
        <f>I369</f>
        <v>316.61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56441.140000000007</v>
      </c>
      <c r="H635" s="104">
        <f>SUM(G472)</f>
        <v>56441.14</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45863.380000000005</v>
      </c>
      <c r="H637" s="164">
        <f>SUM(J468)</f>
        <v>45863.38</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252574.29</v>
      </c>
      <c r="H640" s="104">
        <f>SUM(G461)</f>
        <v>252574.29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252574.29</v>
      </c>
      <c r="H642" s="104">
        <f>SUM(I461)</f>
        <v>252574.29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863.38</v>
      </c>
      <c r="H644" s="104">
        <f>H408</f>
        <v>863.38</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45000</v>
      </c>
      <c r="H645" s="104">
        <f>G408</f>
        <v>45000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45863.38</v>
      </c>
      <c r="H646" s="104">
        <f>L408</f>
        <v>45863.380000000005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118794.57</v>
      </c>
      <c r="H647" s="104">
        <f>L208+L226+L244</f>
        <v>118794.57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9349.66</v>
      </c>
      <c r="H648" s="104">
        <f>(J257+J338)-(J255+J336)</f>
        <v>9349.66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87662.03</v>
      </c>
      <c r="H649" s="104">
        <f>H598</f>
        <v>87662.03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31132.54</v>
      </c>
      <c r="H651" s="104">
        <f>J598</f>
        <v>31132.54</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16000</v>
      </c>
      <c r="H652" s="104">
        <f>K263+K345</f>
        <v>16000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45000</v>
      </c>
      <c r="H655" s="104">
        <f>K266+K347</f>
        <v>45000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1615318.45</v>
      </c>
      <c r="G660" s="19">
        <f>(L229+L309+L359)</f>
        <v>0</v>
      </c>
      <c r="H660" s="19">
        <f>(L247+L328+L360)</f>
        <v>611087.08000000007</v>
      </c>
      <c r="I660" s="19">
        <f>SUM(F660:H660)</f>
        <v>2226405.5300000003</v>
      </c>
      <c r="J660" s="13"/>
      <c r="K660" s="13"/>
      <c r="L660" s="13"/>
      <c r="M660" s="9"/>
    </row>
    <row r="661" spans="1:13" s="3" customFormat="1" ht="12.2" customHeight="1" x14ac:dyDescent="0.2">
      <c r="A661" s="1" t="s">
        <v>127</v>
      </c>
      <c r="F661" s="19">
        <f>(L358/IF(SUM(L358:L360)=0,1,SUM(L358:L360))*(SUM(G97:G110)))</f>
        <v>10623.63</v>
      </c>
      <c r="G661" s="19">
        <f>(L359/IF(SUM(L358:L360)=0,1,SUM(L358:L360))*(SUM(G97:G110)))</f>
        <v>0</v>
      </c>
      <c r="H661" s="19">
        <f>(L360/IF(SUM(L358:L360)=0,1,SUM(L358:L360))*(SUM(G97:G110)))</f>
        <v>0</v>
      </c>
      <c r="I661" s="19">
        <f>SUM(F661:H661)</f>
        <v>10623.63</v>
      </c>
      <c r="J661"/>
      <c r="K661" s="13"/>
      <c r="L661" s="13"/>
      <c r="M661" s="9"/>
    </row>
    <row r="662" spans="1:13" s="3" customFormat="1" ht="12.2" customHeight="1" x14ac:dyDescent="0.2">
      <c r="A662" s="1" t="s">
        <v>128</v>
      </c>
      <c r="F662" s="19">
        <f>(L208+L287)-(J208+J287)</f>
        <v>89211.39</v>
      </c>
      <c r="G662" s="19">
        <f>(L226+L306)-(J226+J306)</f>
        <v>0</v>
      </c>
      <c r="H662" s="19">
        <f>(L244+L325)-(J244+J325)</f>
        <v>31132.54</v>
      </c>
      <c r="I662" s="19">
        <f>SUM(F662:H662)</f>
        <v>120343.93</v>
      </c>
      <c r="J662"/>
      <c r="K662" s="13"/>
      <c r="L662" s="13"/>
      <c r="M662" s="8"/>
    </row>
    <row r="663" spans="1:13" s="3" customFormat="1" ht="12.2" customHeight="1" x14ac:dyDescent="0.15">
      <c r="A663" s="198" t="s">
        <v>129</v>
      </c>
      <c r="B663" s="169"/>
      <c r="C663" s="169"/>
      <c r="D663" s="169"/>
      <c r="E663" s="169"/>
      <c r="F663" s="199">
        <f>SUM(F575:F587)+SUM(H602:H604)+SUM(L611)</f>
        <v>20553.04</v>
      </c>
      <c r="G663" s="199">
        <f>SUM(G575:G587)+SUM(I602:I604)+L612</f>
        <v>0</v>
      </c>
      <c r="H663" s="199">
        <f>SUM(H575:H587)+SUM(J602:J604)+L613</f>
        <v>573840.47</v>
      </c>
      <c r="I663" s="19">
        <f>SUM(F663:H663)</f>
        <v>594393.51</v>
      </c>
      <c r="J663" s="13"/>
      <c r="K663" s="13"/>
      <c r="L663" s="13"/>
      <c r="M663" s="9"/>
    </row>
    <row r="664" spans="1:13" s="3" customFormat="1" ht="12.2" customHeight="1" x14ac:dyDescent="0.15">
      <c r="A664" s="1" t="s">
        <v>130</v>
      </c>
      <c r="F664" s="19">
        <f>F660-SUM(F661:F663)</f>
        <v>1494930.39</v>
      </c>
      <c r="G664" s="19">
        <f>G660-SUM(G661:G663)</f>
        <v>0</v>
      </c>
      <c r="H664" s="19">
        <f>H660-SUM(H661:H663)</f>
        <v>6114.0700000000652</v>
      </c>
      <c r="I664" s="19">
        <f>I660-SUM(I661:I663)</f>
        <v>1501044.4600000002</v>
      </c>
      <c r="J664" s="13"/>
      <c r="K664" s="13"/>
      <c r="L664" s="13"/>
      <c r="M664" s="9"/>
    </row>
    <row r="665" spans="1:13" s="3" customFormat="1" ht="12.2" customHeight="1" x14ac:dyDescent="0.2">
      <c r="A665" s="1" t="s">
        <v>131</v>
      </c>
      <c r="F665" s="246">
        <v>68.680000000000007</v>
      </c>
      <c r="G665" s="247"/>
      <c r="H665" s="247"/>
      <c r="I665" s="19">
        <f>SUM(F665:H665)</f>
        <v>68.680000000000007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21766.6</v>
      </c>
      <c r="G667" s="19" t="e">
        <f>ROUND(G664/G665,2)</f>
        <v>#DIV/0!</v>
      </c>
      <c r="H667" s="19" t="e">
        <f>ROUND(H664/H665,2)</f>
        <v>#DIV/0!</v>
      </c>
      <c r="I667" s="19">
        <f>ROUND(I664/I665,2)</f>
        <v>21855.63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-6144.07</v>
      </c>
      <c r="I669" s="19">
        <f>SUM(F669:H669)</f>
        <v>-6144.07</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21766.6</v>
      </c>
      <c r="G672" s="19" t="e">
        <f>ROUND((G664+G669)/(G665+G670),2)</f>
        <v>#DIV/0!</v>
      </c>
      <c r="H672" s="19" t="e">
        <f>ROUND((H664+H669)/(H665+H670),2)</f>
        <v>#DIV/0!</v>
      </c>
      <c r="I672" s="19">
        <f>ROUND((I664+I669)/(I665+I670),2)</f>
        <v>21766.17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1" sqref="C4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STEWARTSTOWN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330183</v>
      </c>
      <c r="C9" s="229">
        <f>'DOE25'!G197+'DOE25'!G215+'DOE25'!G233+'DOE25'!G276+'DOE25'!G295+'DOE25'!G314</f>
        <v>193753.73</v>
      </c>
    </row>
    <row r="10" spans="1:3" x14ac:dyDescent="0.2">
      <c r="A10" t="s">
        <v>775</v>
      </c>
      <c r="B10" s="240">
        <v>330183</v>
      </c>
      <c r="C10" s="240">
        <v>193753.73</v>
      </c>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330183</v>
      </c>
      <c r="C13" s="231">
        <f>SUM(C10:C12)</f>
        <v>193753.73</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134932.31</v>
      </c>
      <c r="C18" s="229">
        <f>'DOE25'!G198+'DOE25'!G216+'DOE25'!G234+'DOE25'!G277+'DOE25'!G296+'DOE25'!G315</f>
        <v>28222.35</v>
      </c>
    </row>
    <row r="19" spans="1:3" x14ac:dyDescent="0.2">
      <c r="A19" t="s">
        <v>775</v>
      </c>
      <c r="B19" s="240">
        <v>66484.429999999993</v>
      </c>
      <c r="C19" s="240">
        <v>22986.2</v>
      </c>
    </row>
    <row r="20" spans="1:3" x14ac:dyDescent="0.2">
      <c r="A20" t="s">
        <v>776</v>
      </c>
      <c r="B20" s="240">
        <f>68217.88+230</f>
        <v>68447.88</v>
      </c>
      <c r="C20" s="240">
        <v>5236.1499999999996</v>
      </c>
    </row>
    <row r="21" spans="1:3" x14ac:dyDescent="0.2">
      <c r="A21" t="s">
        <v>777</v>
      </c>
      <c r="B21" s="240"/>
      <c r="C21" s="240"/>
    </row>
    <row r="22" spans="1:3" x14ac:dyDescent="0.2">
      <c r="A22" t="str">
        <f>IF(B18=B22,IF(C18=C22,"Check Total OK","Check Total Error"),"Check Total Error")</f>
        <v>Check Total OK</v>
      </c>
      <c r="B22" s="231">
        <f>SUM(B19:B21)</f>
        <v>134932.31</v>
      </c>
      <c r="C22" s="231">
        <f>SUM(C19:C21)</f>
        <v>28222.35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8858</v>
      </c>
      <c r="C36" s="235">
        <f>'DOE25'!G200+'DOE25'!G218+'DOE25'!G236+'DOE25'!G279+'DOE25'!G298+'DOE25'!G317</f>
        <v>2215.38</v>
      </c>
    </row>
    <row r="37" spans="1:3" x14ac:dyDescent="0.2">
      <c r="A37" t="s">
        <v>775</v>
      </c>
      <c r="B37" s="240">
        <v>8858</v>
      </c>
      <c r="C37" s="240">
        <v>2215.38</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8858</v>
      </c>
      <c r="C40" s="231">
        <f>SUM(C37:C39)</f>
        <v>2215.38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H40" sqref="H40"/>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STEWARTSTOWN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1258762.02</v>
      </c>
      <c r="D5" s="20">
        <f>SUM('DOE25'!L197:L200)+SUM('DOE25'!L215:L218)+SUM('DOE25'!L233:L236)-F5-G5-H5</f>
        <v>1256632.1099999999</v>
      </c>
      <c r="E5" s="243"/>
      <c r="F5" s="244"/>
      <c r="G5" s="53">
        <f>SUM('DOE25'!J197:J200)+SUM('DOE25'!J215:J218)+SUM('DOE25'!J233:J236)</f>
        <v>1972.84</v>
      </c>
      <c r="H5" s="53">
        <f>SUM('DOE25'!K197:K200)+SUM('DOE25'!K215:K218)+SUM('DOE25'!K233:K236)</f>
        <v>157.07</v>
      </c>
      <c r="I5" s="256"/>
    </row>
    <row r="6" spans="1:9" x14ac:dyDescent="0.2">
      <c r="A6" s="32">
        <v>2100</v>
      </c>
      <c r="B6" t="s">
        <v>796</v>
      </c>
      <c r="C6" s="276">
        <f t="shared" si="0"/>
        <v>156463.43999999997</v>
      </c>
      <c r="D6" s="20">
        <f>'DOE25'!L202+'DOE25'!L220+'DOE25'!L238-F6-G6-H6</f>
        <v>103233.34999999998</v>
      </c>
      <c r="E6" s="243"/>
      <c r="F6" s="244">
        <v>47335</v>
      </c>
      <c r="G6" s="53">
        <f>'DOE25'!J202+'DOE25'!J220+'DOE25'!J238</f>
        <v>3600.66</v>
      </c>
      <c r="H6" s="53">
        <f>'DOE25'!K202+'DOE25'!K220+'DOE25'!K238</f>
        <v>2294.4299999999998</v>
      </c>
      <c r="I6" s="256"/>
    </row>
    <row r="7" spans="1:9" x14ac:dyDescent="0.2">
      <c r="A7" s="32">
        <v>2200</v>
      </c>
      <c r="B7" t="s">
        <v>821</v>
      </c>
      <c r="C7" s="276">
        <f t="shared" si="0"/>
        <v>34807.159999999996</v>
      </c>
      <c r="D7" s="20">
        <f>'DOE25'!L203+'DOE25'!L221+'DOE25'!L239-F7-G7-H7</f>
        <v>31830.459999999995</v>
      </c>
      <c r="E7" s="243"/>
      <c r="F7" s="244"/>
      <c r="G7" s="53">
        <f>'DOE25'!J203+'DOE25'!J221+'DOE25'!J239</f>
        <v>0</v>
      </c>
      <c r="H7" s="53">
        <f>'DOE25'!K203+'DOE25'!K221+'DOE25'!K239</f>
        <v>2976.7</v>
      </c>
      <c r="I7" s="256"/>
    </row>
    <row r="8" spans="1:9" x14ac:dyDescent="0.2">
      <c r="A8" s="32">
        <v>2300</v>
      </c>
      <c r="B8" t="s">
        <v>797</v>
      </c>
      <c r="C8" s="276">
        <f t="shared" si="0"/>
        <v>87487.270000000019</v>
      </c>
      <c r="D8" s="243"/>
      <c r="E8" s="20">
        <f>'DOE25'!L204+'DOE25'!L222+'DOE25'!L240-F8-G8-H8-D9-D11</f>
        <v>83945.020000000019</v>
      </c>
      <c r="F8" s="244"/>
      <c r="G8" s="53">
        <f>'DOE25'!J204+'DOE25'!J222+'DOE25'!J240</f>
        <v>0</v>
      </c>
      <c r="H8" s="53">
        <f>'DOE25'!K204+'DOE25'!K222+'DOE25'!K240</f>
        <v>3542.25</v>
      </c>
      <c r="I8" s="256"/>
    </row>
    <row r="9" spans="1:9" ht="14.25" x14ac:dyDescent="0.2">
      <c r="A9" s="32">
        <v>2310</v>
      </c>
      <c r="B9" s="185" t="s">
        <v>890</v>
      </c>
      <c r="C9" s="276">
        <f t="shared" si="0"/>
        <v>21872.98</v>
      </c>
      <c r="D9" s="244">
        <v>21872.98</v>
      </c>
      <c r="E9" s="243"/>
      <c r="F9" s="253"/>
      <c r="G9" s="253"/>
      <c r="H9" s="253"/>
      <c r="I9" s="256"/>
    </row>
    <row r="10" spans="1:9" ht="14.25" x14ac:dyDescent="0.2">
      <c r="A10" s="32">
        <v>2317</v>
      </c>
      <c r="B10" s="185" t="s">
        <v>891</v>
      </c>
      <c r="C10" s="276">
        <f t="shared" si="0"/>
        <v>9395</v>
      </c>
      <c r="D10" s="243"/>
      <c r="E10" s="244">
        <v>9395</v>
      </c>
      <c r="F10" s="253"/>
      <c r="G10" s="253"/>
      <c r="H10" s="253"/>
      <c r="I10" s="256"/>
    </row>
    <row r="11" spans="1:9" ht="14.25" x14ac:dyDescent="0.2">
      <c r="A11" s="32">
        <v>2321</v>
      </c>
      <c r="B11" s="185" t="s">
        <v>892</v>
      </c>
      <c r="C11" s="276">
        <f t="shared" si="0"/>
        <v>31212.89</v>
      </c>
      <c r="D11" s="244">
        <v>31212.89</v>
      </c>
      <c r="E11" s="243"/>
      <c r="F11" s="253"/>
      <c r="G11" s="253"/>
      <c r="H11" s="253"/>
      <c r="I11" s="256"/>
    </row>
    <row r="12" spans="1:9" x14ac:dyDescent="0.2">
      <c r="A12" s="32">
        <v>2400</v>
      </c>
      <c r="B12" t="s">
        <v>711</v>
      </c>
      <c r="C12" s="276">
        <f t="shared" si="0"/>
        <v>150991.01</v>
      </c>
      <c r="D12" s="20">
        <f>'DOE25'!L205+'DOE25'!L223+'DOE25'!L241-F12-G12-H12</f>
        <v>148824.32000000001</v>
      </c>
      <c r="E12" s="243"/>
      <c r="F12" s="244"/>
      <c r="G12" s="53">
        <f>'DOE25'!J205+'DOE25'!J223+'DOE25'!J241</f>
        <v>697.69</v>
      </c>
      <c r="H12" s="53">
        <f>'DOE25'!K205+'DOE25'!K223+'DOE25'!K241</f>
        <v>1469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121637.23999999999</v>
      </c>
      <c r="D14" s="20">
        <f>'DOE25'!L207+'DOE25'!L225+'DOE25'!L243-F14-G14-H14</f>
        <v>116750.37</v>
      </c>
      <c r="E14" s="243"/>
      <c r="F14" s="244"/>
      <c r="G14" s="53">
        <f>'DOE25'!J207+'DOE25'!J225+'DOE25'!J243</f>
        <v>3078.47</v>
      </c>
      <c r="H14" s="53">
        <f>'DOE25'!K207+'DOE25'!K225+'DOE25'!K243</f>
        <v>1808.4</v>
      </c>
      <c r="I14" s="256"/>
    </row>
    <row r="15" spans="1:9" x14ac:dyDescent="0.2">
      <c r="A15" s="32">
        <v>2700</v>
      </c>
      <c r="B15" t="s">
        <v>799</v>
      </c>
      <c r="C15" s="276">
        <f t="shared" si="0"/>
        <v>118794.57</v>
      </c>
      <c r="D15" s="20">
        <f>'DOE25'!L208+'DOE25'!L226+'DOE25'!L244-F15-G15-H15</f>
        <v>116866.47</v>
      </c>
      <c r="E15" s="243"/>
      <c r="F15" s="244"/>
      <c r="G15" s="53">
        <f>'DOE25'!J208+'DOE25'!J226+'DOE25'!J244</f>
        <v>0</v>
      </c>
      <c r="H15" s="53">
        <f>'DOE25'!K208+'DOE25'!K226+'DOE25'!K244</f>
        <v>1928.1</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56441.140000000007</v>
      </c>
      <c r="D29" s="284">
        <f>'DOE25'!L358+'DOE25'!L359+'DOE25'!L360-'DOE25'!I367-F29-G29-H29</f>
        <v>41449.880000000005</v>
      </c>
      <c r="E29" s="243"/>
      <c r="F29" s="244">
        <f>53779.26-25000-13788</f>
        <v>14991.260000000002</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187935.81</v>
      </c>
      <c r="D31" s="20">
        <f>'DOE25'!L290+'DOE25'!L309+'DOE25'!L328+'DOE25'!L333+'DOE25'!L334+'DOE25'!L335-F31-G31-H31</f>
        <v>182275.07</v>
      </c>
      <c r="E31" s="243"/>
      <c r="F31" s="244"/>
      <c r="G31" s="53">
        <f>'DOE25'!J290+'DOE25'!J309+'DOE25'!J328+'DOE25'!J333+'DOE25'!J334+'DOE25'!J335</f>
        <v>0</v>
      </c>
      <c r="H31" s="53">
        <f>'DOE25'!K290+'DOE25'!K309+'DOE25'!K328+'DOE25'!K333+'DOE25'!K334+'DOE25'!K335</f>
        <v>5660.74</v>
      </c>
      <c r="I31" s="256"/>
    </row>
    <row r="32" spans="1:9" ht="12" thickBot="1" x14ac:dyDescent="0.25">
      <c r="C32" s="277"/>
      <c r="G32" s="251"/>
      <c r="H32" s="251"/>
      <c r="I32" s="258"/>
    </row>
    <row r="33" spans="1:9" ht="12" thickTop="1" x14ac:dyDescent="0.2">
      <c r="B33" t="s">
        <v>809</v>
      </c>
      <c r="D33" s="245">
        <f t="shared" ref="D33:I33" si="1">SUM(D5:D31)</f>
        <v>2050947.9000000001</v>
      </c>
      <c r="E33" s="245">
        <f t="shared" si="1"/>
        <v>93340.020000000019</v>
      </c>
      <c r="F33" s="245">
        <f t="shared" si="1"/>
        <v>62326.26</v>
      </c>
      <c r="G33" s="245">
        <f t="shared" si="1"/>
        <v>9349.66</v>
      </c>
      <c r="H33" s="245">
        <f t="shared" si="1"/>
        <v>19836.690000000002</v>
      </c>
      <c r="I33" s="245">
        <f t="shared" si="1"/>
        <v>0</v>
      </c>
    </row>
    <row r="35" spans="1:9" ht="12" thickBot="1" x14ac:dyDescent="0.25">
      <c r="B35" s="251" t="s">
        <v>831</v>
      </c>
      <c r="D35" s="252">
        <f>E33</f>
        <v>93340.020000000019</v>
      </c>
      <c r="E35" s="248"/>
    </row>
    <row r="36" spans="1:9" ht="12" thickTop="1" x14ac:dyDescent="0.2">
      <c r="B36" t="s">
        <v>810</v>
      </c>
      <c r="D36" s="20">
        <f>D33</f>
        <v>2050947.9000000001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120" zoomScaleNormal="120" workbookViewId="0">
      <selection activeCell="A41" sqref="A41"/>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STEWARTSTOWN SCHOOL DISTRICT</v>
      </c>
      <c r="B2" s="126">
        <f>'DOE25'!B2</f>
        <v>501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1558877.31</v>
      </c>
      <c r="G4" s="303">
        <f>'DOE25'!L211+'DOE25'!L290</f>
        <v>1558877.31</v>
      </c>
      <c r="H4" s="304">
        <f>F4-G4</f>
        <v>0</v>
      </c>
      <c r="I4" s="310" t="str">
        <f>IF(H4=0,"","Does not match DOE25 page 7 and 11 Totals!!")</f>
        <v/>
      </c>
      <c r="N4"/>
    </row>
    <row r="5" spans="1:18" x14ac:dyDescent="0.2">
      <c r="A5" s="21" t="s">
        <v>1456</v>
      </c>
      <c r="B5" s="305">
        <f>IFERROR(VLOOKUP(A5,'School Tables'!$C$3:$D$368,2,FALSE),"")</f>
        <v>27560</v>
      </c>
      <c r="C5" s="297" t="str">
        <f>IFERROR(INDEX('School Tables'!$B$3:$B$368,MATCH('School Level Expenditures'!B5,'School Tables'!$D$3:$D$368,0)),"")</f>
        <v>Stewartstown</v>
      </c>
      <c r="D5" s="294">
        <v>1370941.55</v>
      </c>
      <c r="E5" s="294">
        <v>187935.76</v>
      </c>
      <c r="F5" s="313">
        <f>D5+E5</f>
        <v>1558877.31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23.2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611087.07999999996</v>
      </c>
      <c r="G36" s="303">
        <f>'DOE25'!L247+'DOE25'!L328</f>
        <v>611087.08000000007</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1">
        <f>358548.46+116078+104678.67+18857.61+12924.34</f>
        <v>611087.07999999996</v>
      </c>
      <c r="E37" s="294"/>
      <c r="F37" s="308">
        <f>D37+E37</f>
        <v>611087.07999999996</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STEWARTSTOWN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290722.42000000004</v>
      </c>
      <c r="D8" s="95">
        <f>'DOE25'!G9</f>
        <v>9229</v>
      </c>
      <c r="E8" s="95">
        <f>'DOE25'!H9</f>
        <v>0</v>
      </c>
      <c r="F8" s="95">
        <f>'DOE25'!I9</f>
        <v>0</v>
      </c>
      <c r="G8" s="95">
        <f>'DOE25'!J9</f>
        <v>252574.29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61785.21</v>
      </c>
      <c r="D11" s="95">
        <f>'DOE25'!G12</f>
        <v>0</v>
      </c>
      <c r="E11" s="95">
        <f>'DOE25'!H12</f>
        <v>0</v>
      </c>
      <c r="F11" s="95">
        <f>'DOE25'!I12</f>
        <v>0</v>
      </c>
      <c r="G11" s="95">
        <f>'DOE25'!J12</f>
        <v>0</v>
      </c>
      <c r="H11" s="124"/>
      <c r="I11" s="124"/>
    </row>
    <row r="12" spans="1:9" x14ac:dyDescent="0.2">
      <c r="A12" s="1" t="s">
        <v>143</v>
      </c>
      <c r="B12" s="6">
        <v>140</v>
      </c>
      <c r="C12" s="95">
        <f>'DOE25'!F13</f>
        <v>0</v>
      </c>
      <c r="D12" s="95">
        <f>'DOE25'!G13</f>
        <v>1605.4</v>
      </c>
      <c r="E12" s="95">
        <f>'DOE25'!H13</f>
        <v>76033.19</v>
      </c>
      <c r="F12" s="95">
        <f>'DOE25'!I13</f>
        <v>0</v>
      </c>
      <c r="G12" s="95">
        <f>'DOE25'!J13</f>
        <v>0</v>
      </c>
      <c r="H12" s="124"/>
      <c r="I12" s="124"/>
    </row>
    <row r="13" spans="1:9" x14ac:dyDescent="0.2">
      <c r="A13" s="1" t="s">
        <v>144</v>
      </c>
      <c r="B13" s="6">
        <v>150</v>
      </c>
      <c r="C13" s="95">
        <f>'DOE25'!F14</f>
        <v>798.87</v>
      </c>
      <c r="D13" s="95">
        <f>'DOE25'!G14</f>
        <v>147.19999999999999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4121.1499999999996</v>
      </c>
      <c r="E15" s="95">
        <f>'DOE25'!H16</f>
        <v>0</v>
      </c>
      <c r="F15" s="95">
        <f>'DOE25'!I16</f>
        <v>0</v>
      </c>
      <c r="G15" s="24" t="s">
        <v>288</v>
      </c>
      <c r="H15" s="124"/>
      <c r="I15" s="124"/>
    </row>
    <row r="16" spans="1:9" x14ac:dyDescent="0.2">
      <c r="A16" s="1" t="s">
        <v>147</v>
      </c>
      <c r="B16" s="6">
        <v>180</v>
      </c>
      <c r="C16" s="95">
        <f>'DOE25'!F17</f>
        <v>11187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364493.50000000006</v>
      </c>
      <c r="D18" s="41">
        <f>SUM(D8:D17)</f>
        <v>15102.75</v>
      </c>
      <c r="E18" s="41">
        <f>SUM(E8:E17)</f>
        <v>76033.19</v>
      </c>
      <c r="F18" s="41">
        <f>SUM(F8:F17)</f>
        <v>0</v>
      </c>
      <c r="G18" s="41">
        <f>SUM(G8:G17)</f>
        <v>252574.29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61785.21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12931.95</v>
      </c>
      <c r="D23" s="95">
        <f>'DOE25'!G24</f>
        <v>3531.34</v>
      </c>
      <c r="E23" s="95">
        <f>'DOE25'!H24</f>
        <v>1489.62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2307.63</v>
      </c>
      <c r="D27" s="95">
        <f>'DOE25'!G28</f>
        <v>0</v>
      </c>
      <c r="E27" s="95">
        <f>'DOE25'!H28</f>
        <v>6721.9</v>
      </c>
      <c r="F27" s="95">
        <f>'DOE25'!I28</f>
        <v>0</v>
      </c>
      <c r="G27" s="24" t="s">
        <v>288</v>
      </c>
      <c r="H27" s="124"/>
      <c r="I27" s="124"/>
    </row>
    <row r="28" spans="1:9" x14ac:dyDescent="0.2">
      <c r="A28" s="1" t="s">
        <v>157</v>
      </c>
      <c r="B28" s="6">
        <v>470</v>
      </c>
      <c r="C28" s="95">
        <f>'DOE25'!F29</f>
        <v>4164.4400000000005</v>
      </c>
      <c r="D28" s="95">
        <f>'DOE25'!G29</f>
        <v>0</v>
      </c>
      <c r="E28" s="95">
        <f>'DOE25'!H29</f>
        <v>1465.46</v>
      </c>
      <c r="F28" s="95">
        <f>'DOE25'!I29</f>
        <v>0</v>
      </c>
      <c r="G28" s="24" t="s">
        <v>288</v>
      </c>
      <c r="H28" s="124"/>
      <c r="I28" s="124"/>
    </row>
    <row r="29" spans="1:9" x14ac:dyDescent="0.2">
      <c r="A29" s="1" t="s">
        <v>158</v>
      </c>
      <c r="B29" s="6">
        <v>480</v>
      </c>
      <c r="C29" s="95">
        <f>'DOE25'!F30</f>
        <v>0</v>
      </c>
      <c r="D29" s="95">
        <f>'DOE25'!G30</f>
        <v>0</v>
      </c>
      <c r="E29" s="95">
        <f>'DOE25'!H30</f>
        <v>4571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19404.020000000004</v>
      </c>
      <c r="D31" s="41">
        <f>SUM(D21:D30)</f>
        <v>3531.34</v>
      </c>
      <c r="E31" s="41">
        <f>SUM(E21:E30)</f>
        <v>76033.19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4121.1499999999996</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37327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7450.2599999999948</v>
      </c>
      <c r="E47" s="95">
        <f>'DOE25'!H48</f>
        <v>0</v>
      </c>
      <c r="F47" s="95">
        <f>'DOE25'!I48</f>
        <v>0</v>
      </c>
      <c r="G47" s="95">
        <f>'DOE25'!J48</f>
        <v>252574.29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307762.48</v>
      </c>
      <c r="D49" s="24" t="s">
        <v>288</v>
      </c>
      <c r="E49" s="24" t="s">
        <v>288</v>
      </c>
      <c r="F49" s="24" t="s">
        <v>288</v>
      </c>
      <c r="G49" s="24" t="s">
        <v>288</v>
      </c>
      <c r="H49" s="124"/>
      <c r="I49" s="124"/>
    </row>
    <row r="50" spans="1:9" ht="12.75" thickTop="1" thickBot="1" x14ac:dyDescent="0.25">
      <c r="A50" s="38" t="s">
        <v>884</v>
      </c>
      <c r="B50" s="48"/>
      <c r="C50" s="41">
        <f>SUM(C34:C49)</f>
        <v>345089.48</v>
      </c>
      <c r="D50" s="41">
        <f>SUM(D34:D49)</f>
        <v>11571.409999999994</v>
      </c>
      <c r="E50" s="41">
        <f>SUM(E34:E49)</f>
        <v>0</v>
      </c>
      <c r="F50" s="41">
        <f>SUM(F34:F49)</f>
        <v>0</v>
      </c>
      <c r="G50" s="41">
        <f>SUM(G34:G49)</f>
        <v>252574.29</v>
      </c>
      <c r="H50" s="124"/>
      <c r="I50" s="124"/>
    </row>
    <row r="51" spans="1:9" ht="12" thickTop="1" x14ac:dyDescent="0.2">
      <c r="A51" s="38" t="s">
        <v>885</v>
      </c>
      <c r="B51" s="2"/>
      <c r="C51" s="41">
        <f>C50+C31</f>
        <v>364493.5</v>
      </c>
      <c r="D51" s="41">
        <f>D50+D31</f>
        <v>15102.749999999995</v>
      </c>
      <c r="E51" s="41">
        <f>E50+E31</f>
        <v>76033.19</v>
      </c>
      <c r="F51" s="41">
        <f>F50+F31</f>
        <v>0</v>
      </c>
      <c r="G51" s="41">
        <f>G50+G31</f>
        <v>252574.29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1336866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814.75</v>
      </c>
      <c r="D59" s="95">
        <f>'DOE25'!G96</f>
        <v>0</v>
      </c>
      <c r="E59" s="95">
        <f>'DOE25'!H96</f>
        <v>0</v>
      </c>
      <c r="F59" s="95">
        <f>'DOE25'!I96</f>
        <v>0</v>
      </c>
      <c r="G59" s="95">
        <f>'DOE25'!J96</f>
        <v>863.38</v>
      </c>
      <c r="H59"/>
      <c r="I59"/>
    </row>
    <row r="60" spans="1:9" x14ac:dyDescent="0.2">
      <c r="A60" s="1" t="s">
        <v>170</v>
      </c>
      <c r="B60" s="118" t="s">
        <v>171</v>
      </c>
      <c r="C60" s="24" t="s">
        <v>288</v>
      </c>
      <c r="D60" s="95">
        <f>'DOE25'!G97</f>
        <v>10623.63</v>
      </c>
      <c r="E60" s="24" t="s">
        <v>288</v>
      </c>
      <c r="F60" s="24" t="s">
        <v>288</v>
      </c>
      <c r="G60" s="24" t="s">
        <v>288</v>
      </c>
      <c r="H60"/>
      <c r="I60"/>
    </row>
    <row r="61" spans="1:9" ht="12" thickBot="1" x14ac:dyDescent="0.25">
      <c r="A61" s="1" t="s">
        <v>172</v>
      </c>
      <c r="B61" s="118" t="s">
        <v>173</v>
      </c>
      <c r="C61" s="95">
        <f>SUM('DOE25'!F98:F110)</f>
        <v>877.16</v>
      </c>
      <c r="D61" s="95">
        <f>SUM('DOE25'!G98:G110)</f>
        <v>0</v>
      </c>
      <c r="E61" s="95">
        <f>SUM('DOE25'!H98:H110)</f>
        <v>576.76</v>
      </c>
      <c r="F61" s="95">
        <f>SUM('DOE25'!I98:I110)</f>
        <v>0</v>
      </c>
      <c r="G61" s="95">
        <f>SUM('DOE25'!J98:J110)</f>
        <v>0</v>
      </c>
      <c r="H61"/>
      <c r="I61"/>
    </row>
    <row r="62" spans="1:9" ht="12.75" thickTop="1" thickBot="1" x14ac:dyDescent="0.25">
      <c r="A62" s="29" t="s">
        <v>174</v>
      </c>
      <c r="B62" s="6"/>
      <c r="C62" s="130">
        <f>SUM(C57:C61)</f>
        <v>1691.9099999999999</v>
      </c>
      <c r="D62" s="130">
        <f>SUM(D57:D61)</f>
        <v>10623.63</v>
      </c>
      <c r="E62" s="130">
        <f>SUM(E57:E61)</f>
        <v>576.76</v>
      </c>
      <c r="F62" s="130">
        <f>SUM(F57:F61)</f>
        <v>0</v>
      </c>
      <c r="G62" s="130">
        <f>SUM(G57:G61)</f>
        <v>863.38</v>
      </c>
      <c r="H62"/>
      <c r="I62"/>
    </row>
    <row r="63" spans="1:9" ht="12" thickTop="1" x14ac:dyDescent="0.2">
      <c r="A63" s="29" t="s">
        <v>175</v>
      </c>
      <c r="B63" s="6"/>
      <c r="C63" s="22">
        <f>C56+C62</f>
        <v>1338557.9099999999</v>
      </c>
      <c r="D63" s="22">
        <f>D56+D62</f>
        <v>10623.63</v>
      </c>
      <c r="E63" s="22">
        <f>E56+E62</f>
        <v>576.76</v>
      </c>
      <c r="F63" s="22">
        <f>F56+F62</f>
        <v>0</v>
      </c>
      <c r="G63" s="22">
        <f>G56+G62</f>
        <v>863.38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517093.79</v>
      </c>
      <c r="D66" s="24" t="s">
        <v>288</v>
      </c>
      <c r="E66" s="24" t="s">
        <v>288</v>
      </c>
      <c r="F66" s="24" t="s">
        <v>288</v>
      </c>
      <c r="G66" s="24" t="s">
        <v>288</v>
      </c>
      <c r="H66"/>
      <c r="I66"/>
    </row>
    <row r="67" spans="1:9" x14ac:dyDescent="0.2">
      <c r="A67" s="1" t="s">
        <v>770</v>
      </c>
      <c r="B67" s="6">
        <v>3112</v>
      </c>
      <c r="C67" s="95">
        <f>'DOE25'!F118</f>
        <v>156201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673294.79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9621.92</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665.82</v>
      </c>
      <c r="E77" s="95">
        <f>SUM('DOE25'!H131:H135)</f>
        <v>40856.480000000003</v>
      </c>
      <c r="F77" s="95">
        <f>SUM('DOE25'!I131:I135)</f>
        <v>0</v>
      </c>
      <c r="G77" s="95">
        <f>SUM('DOE25'!J131:J135)</f>
        <v>0</v>
      </c>
      <c r="H77"/>
      <c r="I77"/>
    </row>
    <row r="78" spans="1:9" ht="12.75" thickTop="1" thickBot="1" x14ac:dyDescent="0.25">
      <c r="A78" s="29" t="s">
        <v>259</v>
      </c>
      <c r="B78" s="6"/>
      <c r="C78" s="130">
        <f>SUM(C72:C77)</f>
        <v>9621.92</v>
      </c>
      <c r="D78" s="130">
        <f>SUM(D72:D77)</f>
        <v>665.82</v>
      </c>
      <c r="E78" s="130">
        <f>SUM(E72:E77)</f>
        <v>40856.480000000003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682916.71000000008</v>
      </c>
      <c r="D81" s="130">
        <f>SUM(D79:D80)+D78+D70</f>
        <v>665.82</v>
      </c>
      <c r="E81" s="130">
        <f>SUM(E79:E80)+E78+E70</f>
        <v>40856.480000000003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1595.53</v>
      </c>
      <c r="D88" s="95">
        <f>SUM('DOE25'!G153:G161)</f>
        <v>29132.18</v>
      </c>
      <c r="E88" s="95">
        <f>SUM('DOE25'!H153:H161)</f>
        <v>146502.57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1595.53</v>
      </c>
      <c r="D91" s="131">
        <f>SUM(D85:D90)</f>
        <v>29132.18</v>
      </c>
      <c r="E91" s="131">
        <f>SUM(E85:E90)</f>
        <v>146502.57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16000</v>
      </c>
      <c r="E96" s="95">
        <f>'DOE25'!H179</f>
        <v>0</v>
      </c>
      <c r="F96" s="95">
        <f>'DOE25'!I179</f>
        <v>0</v>
      </c>
      <c r="G96" s="95">
        <f>'DOE25'!J179</f>
        <v>45000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16000</v>
      </c>
      <c r="E103" s="86">
        <f>SUM(E93:E102)</f>
        <v>0</v>
      </c>
      <c r="F103" s="86">
        <f>SUM(F93:F102)</f>
        <v>0</v>
      </c>
      <c r="G103" s="86">
        <f>SUM(G93:G102)</f>
        <v>45000</v>
      </c>
    </row>
    <row r="104" spans="1:7" ht="12.75" thickTop="1" thickBot="1" x14ac:dyDescent="0.25">
      <c r="A104" s="33" t="s">
        <v>761</v>
      </c>
      <c r="C104" s="86">
        <f>C63+C81+C91+C103</f>
        <v>2023070.1500000001</v>
      </c>
      <c r="D104" s="86">
        <f>D63+D81+D91+D103</f>
        <v>56421.63</v>
      </c>
      <c r="E104" s="86">
        <f>E63+E81+E91+E103</f>
        <v>187935.81</v>
      </c>
      <c r="F104" s="86">
        <f>F63+F81+F91+F103</f>
        <v>0</v>
      </c>
      <c r="G104" s="86">
        <f>G63+G81+G103</f>
        <v>45863.38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1076839.18</v>
      </c>
      <c r="D109" s="24" t="s">
        <v>288</v>
      </c>
      <c r="E109" s="95">
        <f>('DOE25'!L276)+('DOE25'!L295)+('DOE25'!L314)</f>
        <v>76751.3</v>
      </c>
      <c r="F109" s="24" t="s">
        <v>288</v>
      </c>
      <c r="G109" s="24" t="s">
        <v>288</v>
      </c>
    </row>
    <row r="110" spans="1:7" x14ac:dyDescent="0.2">
      <c r="A110" t="s">
        <v>198</v>
      </c>
      <c r="B110" s="32" t="s">
        <v>199</v>
      </c>
      <c r="C110" s="95">
        <f>('DOE25'!L198)+('DOE25'!L216)+('DOE25'!L234)</f>
        <v>181756.84</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166</v>
      </c>
      <c r="D112" s="24" t="s">
        <v>288</v>
      </c>
      <c r="E112" s="95">
        <f>+('DOE25'!L279)+('DOE25'!L298)+('DOE25'!L317)</f>
        <v>11073.380000000001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1258762.02</v>
      </c>
      <c r="D115" s="86">
        <f>SUM(D109:D114)</f>
        <v>0</v>
      </c>
      <c r="E115" s="86">
        <f>SUM(E109:E114)</f>
        <v>87824.680000000008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156463.43999999997</v>
      </c>
      <c r="D118" s="24" t="s">
        <v>288</v>
      </c>
      <c r="E118" s="95">
        <f>+('DOE25'!L281)+('DOE25'!L300)+('DOE25'!L319)</f>
        <v>11614.480000000001</v>
      </c>
      <c r="F118" s="24" t="s">
        <v>288</v>
      </c>
      <c r="G118" s="24" t="s">
        <v>288</v>
      </c>
    </row>
    <row r="119" spans="1:7" x14ac:dyDescent="0.2">
      <c r="A119" t="s">
        <v>208</v>
      </c>
      <c r="B119" s="32" t="s">
        <v>209</v>
      </c>
      <c r="C119" s="95">
        <f>('DOE25'!L203)+('DOE25'!L221)+('DOE25'!L239)</f>
        <v>34807.159999999996</v>
      </c>
      <c r="D119" s="24" t="s">
        <v>288</v>
      </c>
      <c r="E119" s="95">
        <f>+('DOE25'!L282)+('DOE25'!L301)+('DOE25'!L320)</f>
        <v>35708.51</v>
      </c>
      <c r="F119" s="24" t="s">
        <v>288</v>
      </c>
      <c r="G119" s="24" t="s">
        <v>288</v>
      </c>
    </row>
    <row r="120" spans="1:7" x14ac:dyDescent="0.2">
      <c r="A120" t="s">
        <v>210</v>
      </c>
      <c r="B120" s="32" t="s">
        <v>211</v>
      </c>
      <c r="C120" s="95">
        <f>('DOE25'!L204)+('DOE25'!L222)+('DOE25'!L240)</f>
        <v>140573.14000000001</v>
      </c>
      <c r="D120" s="24" t="s">
        <v>288</v>
      </c>
      <c r="E120" s="95">
        <f>+('DOE25'!L283)+('DOE25'!L302)+('DOE25'!L321)</f>
        <v>7260.57</v>
      </c>
      <c r="F120" s="24" t="s">
        <v>288</v>
      </c>
      <c r="G120" s="24" t="s">
        <v>288</v>
      </c>
    </row>
    <row r="121" spans="1:7" x14ac:dyDescent="0.2">
      <c r="A121" t="s">
        <v>212</v>
      </c>
      <c r="B121" s="32" t="s">
        <v>213</v>
      </c>
      <c r="C121" s="95">
        <f>('DOE25'!L205)+('DOE25'!L223)+('DOE25'!L241)</f>
        <v>150991.01</v>
      </c>
      <c r="D121" s="24" t="s">
        <v>288</v>
      </c>
      <c r="E121" s="95">
        <f>+('DOE25'!L284)+('DOE25'!L303)+('DOE25'!L322)</f>
        <v>3519.96</v>
      </c>
      <c r="F121" s="24" t="s">
        <v>288</v>
      </c>
      <c r="G121" s="24" t="s">
        <v>288</v>
      </c>
    </row>
    <row r="122" spans="1:7" x14ac:dyDescent="0.2">
      <c r="A122" t="s">
        <v>214</v>
      </c>
      <c r="B122" s="32" t="s">
        <v>215</v>
      </c>
      <c r="C122" s="95">
        <f>('DOE25'!L206)+('DOE25'!L224)+('DOE25'!L242)</f>
        <v>0</v>
      </c>
      <c r="D122" s="24" t="s">
        <v>288</v>
      </c>
      <c r="E122" s="95">
        <f>+('DOE25'!L285)+('DOE25'!L304)+('DOE25'!L323)</f>
        <v>3422.46</v>
      </c>
      <c r="F122" s="24" t="s">
        <v>288</v>
      </c>
      <c r="G122" s="24" t="s">
        <v>288</v>
      </c>
    </row>
    <row r="123" spans="1:7" x14ac:dyDescent="0.2">
      <c r="A123" t="s">
        <v>216</v>
      </c>
      <c r="B123" s="32" t="s">
        <v>217</v>
      </c>
      <c r="C123" s="95">
        <f>('DOE25'!L207)+('DOE25'!L225)+('DOE25'!L243)</f>
        <v>121637.23999999999</v>
      </c>
      <c r="D123" s="24" t="s">
        <v>288</v>
      </c>
      <c r="E123" s="95">
        <f>+('DOE25'!L286)+('DOE25'!L305)+('DOE25'!L324)</f>
        <v>37035.79</v>
      </c>
      <c r="F123" s="24" t="s">
        <v>288</v>
      </c>
      <c r="G123" s="24" t="s">
        <v>288</v>
      </c>
    </row>
    <row r="124" spans="1:7" x14ac:dyDescent="0.2">
      <c r="A124" t="s">
        <v>218</v>
      </c>
      <c r="B124" s="32" t="s">
        <v>219</v>
      </c>
      <c r="C124" s="95">
        <f>('DOE25'!L208)+('DOE25'!L226)+('DOE25'!L244+'DOE25'!L254)</f>
        <v>118794.57</v>
      </c>
      <c r="D124" s="24" t="s">
        <v>288</v>
      </c>
      <c r="E124" s="95">
        <f>+('DOE25'!L287)+('DOE25'!L306)+('DOE25'!L325)</f>
        <v>1549.36</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56441.140000000007</v>
      </c>
      <c r="E127" s="24" t="s">
        <v>288</v>
      </c>
      <c r="F127" s="24" t="s">
        <v>288</v>
      </c>
      <c r="G127" s="24" t="s">
        <v>288</v>
      </c>
    </row>
    <row r="128" spans="1:7" ht="12.75" thickTop="1" thickBot="1" x14ac:dyDescent="0.25">
      <c r="A128" s="33" t="s">
        <v>226</v>
      </c>
      <c r="C128" s="86">
        <f>SUM(C118:C127)</f>
        <v>723266.56000000006</v>
      </c>
      <c r="D128" s="86">
        <f>SUM(D118:D127)</f>
        <v>56441.140000000007</v>
      </c>
      <c r="E128" s="86">
        <f>SUM(E118:E127)</f>
        <v>100111.13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16000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45863.380000000005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-863.38000000000466</v>
      </c>
      <c r="D141" s="24" t="s">
        <v>288</v>
      </c>
      <c r="E141" s="24" t="s">
        <v>288</v>
      </c>
      <c r="F141" s="24" t="s">
        <v>288</v>
      </c>
      <c r="G141" s="24" t="s">
        <v>288</v>
      </c>
    </row>
    <row r="142" spans="1:7" x14ac:dyDescent="0.2">
      <c r="A142" t="s">
        <v>241</v>
      </c>
      <c r="B142" s="32">
        <v>5310</v>
      </c>
      <c r="C142" s="129">
        <f>'DOE25'!L268</f>
        <v>12924.34</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73924.34</v>
      </c>
      <c r="D144" s="141">
        <f>SUM(D130:D143)</f>
        <v>0</v>
      </c>
      <c r="E144" s="141">
        <f>SUM(E130:E143)</f>
        <v>0</v>
      </c>
      <c r="F144" s="141">
        <f>SUM(F130:F143)</f>
        <v>0</v>
      </c>
      <c r="G144" s="141">
        <f>SUM(G130:G143)</f>
        <v>0</v>
      </c>
    </row>
    <row r="145" spans="1:9" ht="12.75" thickTop="1" thickBot="1" x14ac:dyDescent="0.25">
      <c r="A145" s="33" t="s">
        <v>244</v>
      </c>
      <c r="C145" s="86">
        <f>(C115+C128+C144)</f>
        <v>2055952.9200000002</v>
      </c>
      <c r="D145" s="86">
        <f>(D115+D128+D144)</f>
        <v>56441.140000000007</v>
      </c>
      <c r="E145" s="86">
        <f>(E115+E128+E144)</f>
        <v>187935.81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STEWARTSTOWN SCHOOL DISTRICT</v>
      </c>
    </row>
    <row r="3" spans="1:4" x14ac:dyDescent="0.2">
      <c r="B3" s="188" t="s">
        <v>1602</v>
      </c>
    </row>
    <row r="4" spans="1:4" x14ac:dyDescent="0.2">
      <c r="B4" t="s">
        <v>61</v>
      </c>
      <c r="C4" s="179">
        <f>IF('DOE25'!F665+'DOE25'!F670=0,0,ROUND('DOE25'!F672,0))</f>
        <v>21767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21766</v>
      </c>
    </row>
    <row r="9" spans="1:4" x14ac:dyDescent="0.2">
      <c r="A9" s="187" t="s">
        <v>94</v>
      </c>
      <c r="B9" s="188" t="s">
        <v>1603</v>
      </c>
      <c r="C9" s="181" t="s">
        <v>720</v>
      </c>
      <c r="D9" s="181" t="s">
        <v>721</v>
      </c>
    </row>
    <row r="10" spans="1:4" x14ac:dyDescent="0.2">
      <c r="A10">
        <v>1100</v>
      </c>
      <c r="B10" t="s">
        <v>702</v>
      </c>
      <c r="C10" s="179">
        <f>ROUND('DOE25'!L197+'DOE25'!L215+'DOE25'!L233+'DOE25'!L276+'DOE25'!L295+'DOE25'!L314,0)</f>
        <v>1153590</v>
      </c>
      <c r="D10" s="182">
        <f>ROUND((C10/$C$28)*100,1)</f>
        <v>51.8</v>
      </c>
    </row>
    <row r="11" spans="1:4" x14ac:dyDescent="0.2">
      <c r="A11">
        <v>1200</v>
      </c>
      <c r="B11" t="s">
        <v>703</v>
      </c>
      <c r="C11" s="179">
        <f>ROUND('DOE25'!L198+'DOE25'!L216+'DOE25'!L234+'DOE25'!L277+'DOE25'!L296+'DOE25'!L315,0)</f>
        <v>181757</v>
      </c>
      <c r="D11" s="182">
        <f>ROUND((C11/$C$28)*100,1)</f>
        <v>8.1999999999999993</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11239</v>
      </c>
      <c r="D13" s="182">
        <f>ROUND((C13/$C$28)*100,1)</f>
        <v>0.5</v>
      </c>
    </row>
    <row r="14" spans="1:4" x14ac:dyDescent="0.2">
      <c r="D14" s="182"/>
    </row>
    <row r="15" spans="1:4" x14ac:dyDescent="0.2">
      <c r="A15">
        <v>2100</v>
      </c>
      <c r="B15" t="s">
        <v>706</v>
      </c>
      <c r="C15" s="179">
        <f>ROUND('DOE25'!L202+'DOE25'!L220+'DOE25'!L238+'DOE25'!L281+'DOE25'!L300+'DOE25'!L319,0)</f>
        <v>168078</v>
      </c>
      <c r="D15" s="182">
        <f t="shared" ref="D15:D27" si="0">ROUND((C15/$C$28)*100,1)</f>
        <v>7.5</v>
      </c>
    </row>
    <row r="16" spans="1:4" x14ac:dyDescent="0.2">
      <c r="A16">
        <v>2200</v>
      </c>
      <c r="B16" t="s">
        <v>707</v>
      </c>
      <c r="C16" s="179">
        <f>ROUND('DOE25'!L203+'DOE25'!L221+'DOE25'!L239+'DOE25'!L282+'DOE25'!L301+'DOE25'!L320,0)</f>
        <v>70516</v>
      </c>
      <c r="D16" s="182">
        <f t="shared" si="0"/>
        <v>3.2</v>
      </c>
    </row>
    <row r="17" spans="1:4" x14ac:dyDescent="0.2">
      <c r="A17" s="183" t="s">
        <v>723</v>
      </c>
      <c r="B17" t="s">
        <v>738</v>
      </c>
      <c r="C17" s="179">
        <f>ROUND('DOE25'!L204+'DOE25'!L209+'DOE25'!L222+'DOE25'!L227+'DOE25'!L240+'DOE25'!L245+'DOE25'!L283+'DOE25'!L288+'DOE25'!L302+'DOE25'!L307+'DOE25'!L321+'DOE25'!L326,0)</f>
        <v>147834</v>
      </c>
      <c r="D17" s="182">
        <f t="shared" si="0"/>
        <v>6.6</v>
      </c>
    </row>
    <row r="18" spans="1:4" x14ac:dyDescent="0.2">
      <c r="A18">
        <v>2400</v>
      </c>
      <c r="B18" t="s">
        <v>711</v>
      </c>
      <c r="C18" s="179">
        <f>ROUND('DOE25'!L205+'DOE25'!L223+'DOE25'!L241+'DOE25'!L284+'DOE25'!L303+'DOE25'!L322,0)</f>
        <v>154511</v>
      </c>
      <c r="D18" s="182">
        <f t="shared" si="0"/>
        <v>6.9</v>
      </c>
    </row>
    <row r="19" spans="1:4" x14ac:dyDescent="0.2">
      <c r="A19">
        <v>2500</v>
      </c>
      <c r="B19" t="s">
        <v>708</v>
      </c>
      <c r="C19" s="179">
        <f>ROUND('DOE25'!L206+'DOE25'!L224+'DOE25'!L242+'DOE25'!L285+'DOE25'!L304+'DOE25'!L323,0)</f>
        <v>3422</v>
      </c>
      <c r="D19" s="182">
        <f t="shared" si="0"/>
        <v>0.2</v>
      </c>
    </row>
    <row r="20" spans="1:4" x14ac:dyDescent="0.2">
      <c r="A20">
        <v>2600</v>
      </c>
      <c r="B20" t="s">
        <v>709</v>
      </c>
      <c r="C20" s="179">
        <f>ROUND('DOE25'!L207+'DOE25'!L225+'DOE25'!L243+'DOE25'!L286+'DOE25'!L305+'DOE25'!L324,0)</f>
        <v>158673</v>
      </c>
      <c r="D20" s="182">
        <f t="shared" si="0"/>
        <v>7.1</v>
      </c>
    </row>
    <row r="21" spans="1:4" x14ac:dyDescent="0.2">
      <c r="A21">
        <v>2700</v>
      </c>
      <c r="B21" t="s">
        <v>710</v>
      </c>
      <c r="C21" s="179">
        <f>ROUND('DOE25'!L208+'DOE25'!L226+'DOE25'!L244+'DOE25'!L287+'DOE25'!L306+'DOE25'!L325,0)</f>
        <v>120344</v>
      </c>
      <c r="D21" s="182">
        <f t="shared" si="0"/>
        <v>5.4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12924.34</v>
      </c>
      <c r="D26" s="182">
        <f t="shared" si="0"/>
        <v>0.6</v>
      </c>
    </row>
    <row r="27" spans="1:4" x14ac:dyDescent="0.2">
      <c r="A27">
        <v>3100</v>
      </c>
      <c r="B27" t="s">
        <v>11</v>
      </c>
      <c r="C27" s="179">
        <f>ROUND('DOE25'!L362-'DOE25'!L361,0)-SUM('DOE25'!G97:G110)</f>
        <v>45817.37</v>
      </c>
      <c r="D27" s="182">
        <f t="shared" si="0"/>
        <v>2.1</v>
      </c>
    </row>
    <row r="28" spans="1:4" x14ac:dyDescent="0.2">
      <c r="B28" s="187" t="s">
        <v>719</v>
      </c>
      <c r="C28" s="180">
        <f>SUM(C10:C27)</f>
        <v>2228705.71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2228705.71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1336866</v>
      </c>
      <c r="D35" s="182">
        <f t="shared" ref="D35:D40" si="1">ROUND((C35/$C$41)*100,1)</f>
        <v>59.6</v>
      </c>
    </row>
    <row r="36" spans="1:4" x14ac:dyDescent="0.2">
      <c r="B36" s="185" t="s">
        <v>739</v>
      </c>
      <c r="C36" s="179">
        <f>SUM('DOE25'!F112:J112)-SUM('DOE25'!G97:G110)+('DOE25'!F174+'DOE25'!F175+'DOE25'!I174+'DOE25'!I175)-C35</f>
        <v>3132.0499999998137</v>
      </c>
      <c r="D36" s="182">
        <f t="shared" si="1"/>
        <v>0.1</v>
      </c>
    </row>
    <row r="37" spans="1:4" x14ac:dyDescent="0.2">
      <c r="A37" s="183" t="s">
        <v>835</v>
      </c>
      <c r="B37" s="185" t="s">
        <v>728</v>
      </c>
      <c r="C37" s="179">
        <f>ROUND('DOE25'!F117+'DOE25'!F118,0)</f>
        <v>673295</v>
      </c>
      <c r="D37" s="182">
        <f t="shared" si="1"/>
        <v>30</v>
      </c>
    </row>
    <row r="38" spans="1:4" x14ac:dyDescent="0.2">
      <c r="A38" s="183" t="s">
        <v>734</v>
      </c>
      <c r="B38" s="185" t="s">
        <v>729</v>
      </c>
      <c r="C38" s="179">
        <f>ROUND(SUM('DOE25'!F140:J140)-SUM('DOE25'!F117:F119),0)</f>
        <v>51144</v>
      </c>
      <c r="D38" s="182">
        <f t="shared" si="1"/>
        <v>2.2999999999999998</v>
      </c>
    </row>
    <row r="39" spans="1:4" x14ac:dyDescent="0.2">
      <c r="A39">
        <v>4000</v>
      </c>
      <c r="B39" s="185" t="s">
        <v>730</v>
      </c>
      <c r="C39" s="179">
        <f>ROUND('DOE25'!F169+'DOE25'!G169+'DOE25'!H169+'DOE25'!I169,0)</f>
        <v>177230</v>
      </c>
      <c r="D39" s="182">
        <f t="shared" si="1"/>
        <v>7.9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2241667.0499999998</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STEWARTSTOWN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2019-11-08T14:32:31Z</cp:lastPrinted>
  <dcterms:created xsi:type="dcterms:W3CDTF">1997-12-04T19:04:30Z</dcterms:created>
  <dcterms:modified xsi:type="dcterms:W3CDTF">2019-11-08T14:32:41Z</dcterms:modified>
</cp:coreProperties>
</file>