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D50" i="2" s="1"/>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C110" i="2" s="1"/>
  <c r="L199" i="1"/>
  <c r="L200" i="1"/>
  <c r="L215" i="1"/>
  <c r="L216" i="1"/>
  <c r="L217" i="1"/>
  <c r="L218" i="1"/>
  <c r="L233" i="1"/>
  <c r="L234" i="1"/>
  <c r="L235" i="1"/>
  <c r="L247" i="1" s="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G52" i="1" s="1"/>
  <c r="H618" i="1" s="1"/>
  <c r="H32" i="1"/>
  <c r="I32" i="1"/>
  <c r="H51" i="1"/>
  <c r="I51" i="1"/>
  <c r="I52" i="1" s="1"/>
  <c r="H620" i="1" s="1"/>
  <c r="F177" i="1"/>
  <c r="F192" i="1" s="1"/>
  <c r="I177" i="1"/>
  <c r="F183" i="1"/>
  <c r="G183" i="1"/>
  <c r="H183" i="1"/>
  <c r="I183" i="1"/>
  <c r="J183" i="1"/>
  <c r="J192" i="1" s="1"/>
  <c r="F188" i="1"/>
  <c r="G188" i="1"/>
  <c r="G192" i="1" s="1"/>
  <c r="H188" i="1"/>
  <c r="I188" i="1"/>
  <c r="F211" i="1"/>
  <c r="G211" i="1"/>
  <c r="H211" i="1"/>
  <c r="H257" i="1" s="1"/>
  <c r="H271" i="1" s="1"/>
  <c r="I211" i="1"/>
  <c r="J211" i="1"/>
  <c r="K211" i="1"/>
  <c r="K257" i="1" s="1"/>
  <c r="F229" i="1"/>
  <c r="G229" i="1"/>
  <c r="H229" i="1"/>
  <c r="I229" i="1"/>
  <c r="J229" i="1"/>
  <c r="K229" i="1"/>
  <c r="F247" i="1"/>
  <c r="G247" i="1"/>
  <c r="H247" i="1"/>
  <c r="I247" i="1"/>
  <c r="J247" i="1"/>
  <c r="K247" i="1"/>
  <c r="F256" i="1"/>
  <c r="G256" i="1"/>
  <c r="H256" i="1"/>
  <c r="I256" i="1"/>
  <c r="J256" i="1"/>
  <c r="K256" i="1"/>
  <c r="F257"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F461" i="1" s="1"/>
  <c r="H639" i="1" s="1"/>
  <c r="G460" i="1"/>
  <c r="H460" i="1"/>
  <c r="G461" i="1"/>
  <c r="H461" i="1"/>
  <c r="F470" i="1"/>
  <c r="G470" i="1"/>
  <c r="H470" i="1"/>
  <c r="I470" i="1"/>
  <c r="J470" i="1"/>
  <c r="F474" i="1"/>
  <c r="G474" i="1"/>
  <c r="G476" i="1" s="1"/>
  <c r="H623" i="1" s="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H635" i="1"/>
  <c r="H636" i="1"/>
  <c r="H637" i="1"/>
  <c r="H638" i="1"/>
  <c r="G640" i="1"/>
  <c r="H640" i="1"/>
  <c r="G641" i="1"/>
  <c r="H641" i="1"/>
  <c r="G643" i="1"/>
  <c r="H643" i="1"/>
  <c r="G644" i="1"/>
  <c r="G645" i="1"/>
  <c r="H645" i="1"/>
  <c r="J645" i="1" s="1"/>
  <c r="H647" i="1"/>
  <c r="G650" i="1"/>
  <c r="G651" i="1"/>
  <c r="G652" i="1"/>
  <c r="H652" i="1"/>
  <c r="G653" i="1"/>
  <c r="H653" i="1"/>
  <c r="G654" i="1"/>
  <c r="H654" i="1"/>
  <c r="H655" i="1"/>
  <c r="L256" i="1"/>
  <c r="C18" i="2"/>
  <c r="D18" i="2"/>
  <c r="C91" i="2"/>
  <c r="F18" i="2"/>
  <c r="E103" i="2"/>
  <c r="G62" i="2"/>
  <c r="E78" i="2"/>
  <c r="J257" i="1"/>
  <c r="H112" i="1"/>
  <c r="J641" i="1"/>
  <c r="K605" i="1"/>
  <c r="G648" i="1" s="1"/>
  <c r="J571" i="1"/>
  <c r="L419" i="1"/>
  <c r="I169" i="1"/>
  <c r="J643" i="1"/>
  <c r="G338" i="1"/>
  <c r="G352" i="1" s="1"/>
  <c r="J140" i="1"/>
  <c r="F571" i="1"/>
  <c r="G22" i="2"/>
  <c r="H552" i="1"/>
  <c r="H140" i="1"/>
  <c r="J651" i="1"/>
  <c r="L560" i="1"/>
  <c r="F338" i="1"/>
  <c r="F352" i="1" s="1"/>
  <c r="H192" i="1"/>
  <c r="J655" i="1"/>
  <c r="I545" i="1"/>
  <c r="A40" i="12" l="1"/>
  <c r="J640" i="1"/>
  <c r="J639" i="1"/>
  <c r="K598" i="1"/>
  <c r="G647" i="1" s="1"/>
  <c r="J552" i="1"/>
  <c r="K545" i="1"/>
  <c r="J545" i="1"/>
  <c r="G545" i="1"/>
  <c r="H545" i="1"/>
  <c r="K549" i="1"/>
  <c r="F552" i="1"/>
  <c r="J476" i="1"/>
  <c r="H626" i="1" s="1"/>
  <c r="H476" i="1"/>
  <c r="H624" i="1" s="1"/>
  <c r="F476" i="1"/>
  <c r="H622" i="1" s="1"/>
  <c r="J622" i="1" s="1"/>
  <c r="L427" i="1"/>
  <c r="J644" i="1"/>
  <c r="J634" i="1"/>
  <c r="K271" i="1"/>
  <c r="I257" i="1"/>
  <c r="I271" i="1" s="1"/>
  <c r="J647" i="1"/>
  <c r="L211" i="1"/>
  <c r="F660" i="1" s="1"/>
  <c r="C78" i="2"/>
  <c r="C81" i="2"/>
  <c r="C70" i="2"/>
  <c r="E62" i="2"/>
  <c r="E63" i="2" s="1"/>
  <c r="F112" i="1"/>
  <c r="J624" i="1"/>
  <c r="J623" i="1"/>
  <c r="H52" i="1"/>
  <c r="H619" i="1" s="1"/>
  <c r="J619" i="1" s="1"/>
  <c r="J617" i="1"/>
  <c r="E128" i="2"/>
  <c r="I25" i="13"/>
  <c r="K550" i="1"/>
  <c r="J271" i="1"/>
  <c r="L534" i="1"/>
  <c r="K500" i="1"/>
  <c r="I460" i="1"/>
  <c r="I452" i="1"/>
  <c r="I461" i="1" s="1"/>
  <c r="H642" i="1" s="1"/>
  <c r="I446" i="1"/>
  <c r="G642" i="1" s="1"/>
  <c r="H338" i="1"/>
  <c r="H352" i="1" s="1"/>
  <c r="F271" i="1"/>
  <c r="C123" i="2"/>
  <c r="E109" i="2"/>
  <c r="E115" i="2" s="1"/>
  <c r="C56" i="2"/>
  <c r="F662" i="1"/>
  <c r="I662" i="1" s="1"/>
  <c r="C25" i="10"/>
  <c r="C21" i="10"/>
  <c r="C17" i="10"/>
  <c r="G112" i="1"/>
  <c r="C36" i="10" s="1"/>
  <c r="D19" i="13"/>
  <c r="C19" i="13" s="1"/>
  <c r="D14" i="13"/>
  <c r="C14" i="13" s="1"/>
  <c r="C62" i="2"/>
  <c r="C63" i="2" s="1"/>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K551" i="1"/>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J618" i="1"/>
  <c r="G42" i="2"/>
  <c r="J51" i="1"/>
  <c r="G16" i="2"/>
  <c r="G18" i="2" s="1"/>
  <c r="J19" i="1"/>
  <c r="G621" i="1" s="1"/>
  <c r="F545" i="1"/>
  <c r="H434" i="1"/>
  <c r="J620" i="1"/>
  <c r="D103" i="2"/>
  <c r="D104" i="2" s="1"/>
  <c r="I140" i="1"/>
  <c r="I193" i="1" s="1"/>
  <c r="G630" i="1" s="1"/>
  <c r="J630" i="1" s="1"/>
  <c r="A22" i="12"/>
  <c r="G50" i="2"/>
  <c r="G51" i="2" s="1"/>
  <c r="H648" i="1"/>
  <c r="J648" i="1" s="1"/>
  <c r="C104" i="2"/>
  <c r="J652" i="1"/>
  <c r="G571" i="1"/>
  <c r="I434" i="1"/>
  <c r="G434" i="1"/>
  <c r="E104" i="2"/>
  <c r="I663" i="1"/>
  <c r="C27" i="10"/>
  <c r="G635" i="1"/>
  <c r="J635" i="1" s="1"/>
  <c r="J642" i="1" l="1"/>
  <c r="K552" i="1"/>
  <c r="H646" i="1"/>
  <c r="G4" i="14"/>
  <c r="H4" i="14" s="1"/>
  <c r="I4" i="14" s="1"/>
  <c r="C128" i="2"/>
  <c r="C145" i="2" s="1"/>
  <c r="F664" i="1"/>
  <c r="F667" i="1" s="1"/>
  <c r="E33" i="13"/>
  <c r="D35" i="13" s="1"/>
  <c r="L257" i="1"/>
  <c r="L271" i="1" s="1"/>
  <c r="G632" i="1" s="1"/>
  <c r="J632" i="1" s="1"/>
  <c r="G104" i="2"/>
  <c r="H664" i="1"/>
  <c r="D31" i="13"/>
  <c r="C31" i="13" s="1"/>
  <c r="L545" i="1"/>
  <c r="C25" i="13"/>
  <c r="I33" i="13"/>
  <c r="C28" i="10"/>
  <c r="D23" i="10" s="1"/>
  <c r="H24" i="14"/>
  <c r="I24" i="14" s="1"/>
  <c r="G667" i="1"/>
  <c r="G672" i="1"/>
  <c r="C5" i="10" s="1"/>
  <c r="I660" i="1"/>
  <c r="I664" i="1" s="1"/>
  <c r="I672" i="1" s="1"/>
  <c r="C7" i="10" s="1"/>
  <c r="C51" i="2"/>
  <c r="G631" i="1"/>
  <c r="J631" i="1" s="1"/>
  <c r="J646" i="1"/>
  <c r="G193" i="1"/>
  <c r="G628" i="1" s="1"/>
  <c r="J628" i="1" s="1"/>
  <c r="G626" i="1"/>
  <c r="J626" i="1" s="1"/>
  <c r="J52" i="1"/>
  <c r="H621" i="1" s="1"/>
  <c r="J621" i="1" s="1"/>
  <c r="C38" i="10"/>
  <c r="F672" i="1" l="1"/>
  <c r="C4" i="10" s="1"/>
  <c r="D25" i="10"/>
  <c r="H667" i="1"/>
  <c r="H672" i="1"/>
  <c r="C6"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<sst xmlns="http://schemas.openxmlformats.org/spreadsheetml/2006/main" count="5504" uniqueCount="1610">
  <si>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</si>
  <si>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</si>
  <si>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</si>
  <si>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</si>
  <si>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</si>
  <si>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</si>
  <si>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</si>
  <si>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</si>
  <si>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</si>
  <si>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</si>
  <si>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</si>
  <si>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</si>
  <si>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</si>
  <si>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</si>
  <si>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</si>
  <si>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</si>
  <si>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</si>
  <si>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</si>
  <si>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</si>
  <si>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</si>
  <si>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</si>
  <si>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</si>
  <si>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</si>
  <si>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</si>
  <si>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</si>
  <si>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</si>
  <si>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</si>
  <si>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</si>
  <si>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</si>
  <si>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</si>
  <si>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</si>
  <si>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</si>
  <si>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</si>
  <si>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</si>
  <si>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</si>
  <si>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</si>
  <si>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</si>
  <si>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</si>
  <si>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</si>
  <si>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</si>
  <si>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</si>
  <si>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</si>
  <si>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</si>
  <si>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</si>
  <si>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</si>
  <si>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</si>
  <si>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</si>
  <si>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</si>
  <si>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</si>
  <si>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</si>
  <si>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</si>
  <si>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</si>
  <si>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</si>
  <si>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</si>
  <si>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</si>
  <si>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</si>
  <si>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</si>
  <si>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</si>
  <si>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</si>
  <si>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</si>
  <si>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</si>
  <si>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</si>
  <si>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</si>
  <si>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</si>
  <si>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</si>
  <si>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</si>
  <si>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</si>
  <si>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</si>
  <si>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</si>
  <si>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</si>
  <si>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</si>
  <si>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</si>
  <si>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</si>
  <si>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</si>
  <si>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</si>
  <si>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</si>
  <si>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</si>
  <si>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</si>
  <si>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</si>
  <si>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</si>
  <si>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</si>
  <si>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</si>
  <si>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</si>
  <si>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</si>
  <si>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</si>
  <si>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</si>
  <si>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</si>
  <si>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</si>
  <si>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</si>
  <si>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</si>
  <si>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</si>
  <si>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</si>
  <si>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</si>
  <si>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</si>
  <si>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</si>
  <si>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</si>
  <si>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</si>
  <si>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</si>
  <si>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</si>
  <si>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</si>
  <si>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</si>
  <si>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</si>
  <si>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</si>
  <si>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</si>
  <si>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</si>
  <si>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</si>
  <si>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</si>
  <si>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</si>
  <si>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</si>
  <si>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</si>
  <si>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</si>
  <si>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</si>
  <si>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</si>
  <si>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</si>
  <si>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</si>
  <si>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</si>
  <si>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</si>
  <si>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</si>
  <si>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</si>
  <si>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</si>
  <si>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</si>
  <si>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</si>
  <si>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</si>
  <si>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</si>
  <si>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</si>
  <si>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</si>
  <si>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</si>
  <si>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</si>
  <si>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</si>
  <si>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</si>
  <si>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</si>
  <si>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</si>
  <si>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</si>
  <si>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</si>
  <si>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</si>
  <si>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</si>
  <si>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</si>
  <si>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</si>
  <si>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</si>
  <si>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</si>
  <si>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</si>
  <si>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</si>
  <si>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</si>
  <si>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</si>
  <si>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</si>
  <si>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</si>
  <si>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</si>
  <si>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</si>
  <si>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</si>
  <si>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</si>
  <si>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</si>
  <si>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</si>
  <si>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</si>
  <si>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</si>
  <si>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</si>
  <si>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</si>
  <si>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</si>
  <si>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</si>
  <si>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</si>
  <si>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</si>
  <si>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</si>
  <si>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</si>
  <si>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</si>
  <si>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</si>
  <si>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</si>
  <si>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</si>
  <si>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</si>
  <si>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</si>
  <si>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</si>
  <si>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</si>
  <si>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</si>
  <si>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</si>
  <si>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</si>
  <si>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</si>
  <si>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</si>
  <si>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</si>
  <si>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</si>
  <si>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</si>
  <si>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</si>
  <si>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</si>
  <si>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</si>
  <si>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</si>
  <si>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</si>
  <si>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</si>
  <si>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</si>
  <si>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</si>
  <si>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</si>
  <si>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</si>
  <si>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</si>
  <si>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</si>
  <si>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</si>
  <si>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</si>
  <si>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</si>
  <si>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</si>
  <si>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</si>
  <si>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</si>
  <si>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</si>
  <si>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</si>
  <si>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</si>
  <si>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</si>
  <si>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</si>
  <si>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</si>
  <si>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</si>
  <si>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</si>
  <si>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</si>
  <si>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</si>
  <si>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</si>
  <si>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</si>
  <si>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</si>
  <si>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</si>
  <si>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</si>
  <si>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</si>
  <si>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</si>
  <si>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</si>
  <si>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</si>
  <si>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</si>
  <si>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</si>
  <si>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</si>
  <si>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</si>
  <si>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</si>
  <si>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</si>
  <si>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</si>
  <si>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</si>
  <si>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</si>
  <si>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</si>
  <si>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</si>
  <si>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</si>
  <si>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</si>
  <si>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</si>
  <si>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</si>
  <si>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</si>
  <si>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</si>
  <si>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</si>
  <si>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</si>
  <si>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</si>
  <si>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</si>
  <si>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</si>
  <si>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</si>
  <si>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</si>
  <si>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</si>
  <si>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</si>
  <si>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</si>
  <si>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</si>
  <si>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</si>
  <si>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</si>
  <si>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</si>
  <si>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</si>
  <si>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</si>
  <si>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</si>
  <si>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</si>
  <si>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</si>
  <si>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</si>
  <si>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</si>
  <si>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</si>
  <si>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</si>
  <si>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</si>
  <si>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</si>
  <si>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</si>
  <si>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</si>
  <si>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</si>
  <si>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</si>
  <si>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</si>
  <si>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</si>
  <si>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</si>
  <si>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</si>
  <si>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</si>
  <si>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</si>
  <si>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</si>
  <si>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</si>
  <si>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</si>
  <si>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</si>
  <si>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</si>
  <si>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</si>
  <si>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</si>
  <si>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</si>
  <si>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</si>
  <si>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</si>
  <si>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</si>
  <si>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</si>
  <si>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</si>
  <si>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</si>
  <si>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</si>
  <si>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</si>
  <si>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</si>
  <si>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</si>
  <si>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</si>
  <si>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</si>
  <si>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</si>
  <si>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</si>
  <si>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</si>
  <si>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</si>
  <si>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</si>
  <si>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</si>
  <si>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</si>
  <si>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</si>
  <si>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</si>
  <si>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</si>
  <si>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</si>
  <si>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</si>
  <si>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</si>
  <si>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</si>
  <si>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</si>
  <si>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</si>
  <si>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</si>
  <si>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</si>
  <si>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</si>
  <si>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</si>
  <si>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</si>
  <si>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</si>
  <si>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</si>
  <si>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</si>
  <si>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</si>
  <si>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</si>
  <si>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</si>
  <si>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</si>
  <si>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</si>
  <si>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</si>
  <si>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</si>
  <si>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</si>
  <si>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</si>
  <si>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</si>
  <si>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</si>
  <si>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</si>
  <si>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</si>
  <si>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</si>
  <si>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</si>
  <si>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</si>
  <si>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</si>
  <si>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</si>
  <si>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</si>
  <si>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</si>
  <si>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</si>
  <si>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</si>
  <si>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</si>
  <si>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</si>
  <si>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</si>
  <si>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</si>
  <si>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</si>
  <si>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</si>
  <si>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</si>
  <si>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</si>
  <si>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</si>
  <si>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</si>
  <si>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</si>
  <si>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</si>
  <si>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</si>
  <si>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</si>
  <si>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</si>
  <si>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</si>
  <si>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</si>
  <si>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</si>
  <si>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</si>
  <si>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</si>
  <si>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</si>
  <si>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</si>
  <si>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</si>
  <si>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</si>
  <si>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</si>
  <si>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</si>
  <si>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</si>
  <si>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</si>
  <si>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</si>
  <si>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</si>
  <si>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</si>
  <si>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</si>
  <si>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</si>
  <si>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</si>
  <si>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</si>
  <si>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</si>
  <si>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</si>
  <si>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</si>
  <si>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</si>
  <si>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</si>
  <si>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</si>
  <si>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</si>
  <si>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</si>
  <si>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</si>
  <si>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</si>
  <si>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</si>
  <si>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</si>
  <si>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</si>
  <si>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</si>
  <si>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</si>
  <si>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</si>
  <si>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</si>
  <si>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</si>
  <si>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</si>
  <si>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</si>
  <si>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</si>
  <si>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</si>
  <si>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</si>
  <si>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</si>
  <si>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</si>
  <si>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</si>
  <si>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</si>
  <si>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</si>
  <si>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</si>
  <si>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</si>
  <si>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</si>
  <si>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</si>
  <si>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</si>
  <si>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</si>
  <si>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</si>
  <si>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</si>
  <si>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</si>
  <si>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</si>
  <si>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</si>
  <si>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</si>
  <si>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</si>
  <si>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</si>
  <si>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</si>
  <si>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</si>
  <si>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</si>
  <si>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</si>
  <si>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</si>
  <si>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</si>
  <si>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</si>
  <si>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</si>
  <si>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</si>
  <si>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</si>
  <si>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</si>
  <si>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</si>
  <si>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</si>
  <si>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</si>
  <si>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</si>
  <si>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</si>
  <si>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</si>
  <si>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</si>
  <si>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</si>
  <si>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</si>
  <si>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</si>
  <si>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</si>
  <si>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</si>
  <si>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</si>
  <si>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</si>
  <si>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</si>
  <si>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</si>
  <si>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</si>
  <si>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</si>
  <si>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</si>
  <si>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</si>
  <si>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</si>
  <si>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</si>
  <si>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</si>
  <si>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</si>
  <si>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</si>
  <si>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</si>
  <si>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</si>
  <si>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</si>
  <si>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</si>
  <si>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</si>
  <si>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</si>
  <si>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</si>
  <si>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</si>
  <si>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</si>
  <si>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</si>
  <si>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</si>
  <si>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</si>
  <si>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</si>
  <si>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</si>
  <si>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</si>
  <si>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</si>
  <si>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</si>
  <si>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</si>
  <si>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</si>
  <si>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</si>
  <si>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</si>
  <si>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</si>
  <si>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</si>
  <si>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</si>
  <si>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</si>
  <si>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</si>
  <si>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</si>
  <si>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</si>
  <si>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</si>
  <si>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</si>
  <si>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</si>
  <si>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</si>
  <si>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</si>
  <si>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</si>
  <si>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</si>
  <si>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</si>
  <si>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</si>
  <si>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</si>
  <si>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</si>
  <si>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</si>
  <si>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</si>
  <si>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</si>
  <si>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</si>
  <si>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</si>
  <si>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</si>
  <si>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</si>
  <si>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</si>
  <si>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</si>
  <si>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</si>
  <si>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</si>
  <si>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</si>
  <si>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</si>
  <si>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</si>
  <si>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</si>
  <si>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</si>
  <si>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</si>
  <si>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</si>
  <si>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</si>
  <si>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</si>
  <si>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</si>
  <si>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</si>
  <si>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</si>
  <si>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</si>
  <si>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</si>
  <si>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</si>
  <si>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</si>
  <si>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</si>
  <si>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</si>
  <si>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</si>
  <si>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</si>
  <si>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</si>
  <si>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</si>
  <si>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</si>
  <si>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</si>
  <si>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</si>
  <si>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</si>
  <si>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</si>
  <si>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</si>
  <si>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</si>
  <si>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</si>
  <si>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</si>
  <si>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</si>
  <si>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</si>
  <si>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</si>
  <si>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</si>
  <si>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</si>
  <si>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</si>
  <si>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</si>
  <si>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</si>
  <si>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</si>
  <si>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</si>
  <si>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</si>
  <si>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</si>
  <si>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</si>
  <si>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</si>
  <si>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</si>
  <si>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</si>
  <si>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</si>
  <si>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</si>
  <si>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</si>
  <si>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</si>
  <si>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</si>
  <si>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</si>
  <si>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</si>
  <si>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</si>
  <si>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</si>
  <si>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</si>
  <si>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</si>
  <si>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</si>
  <si>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</si>
  <si>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</si>
  <si>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</si>
  <si>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</si>
  <si>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</si>
  <si>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</si>
  <si>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</si>
  <si>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</si>
  <si>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</si>
  <si>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</si>
  <si>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</si>
  <si>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</si>
  <si>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</si>
  <si>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</si>
  <si>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</si>
  <si>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</si>
  <si>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</si>
  <si>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</si>
  <si>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</si>
  <si>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</si>
  <si>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</si>
  <si>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</si>
  <si>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</si>
  <si>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</si>
  <si>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</si>
  <si>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</si>
  <si>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</si>
  <si>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</si>
  <si>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</si>
  <si>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</si>
  <si>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</si>
  <si>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</si>
  <si>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</si>
  <si>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</si>
  <si>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</si>
  <si>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</si>
  <si>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</si>
  <si>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</si>
  <si>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</si>
  <si>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</si>
  <si>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</si>
  <si>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</si>
  <si>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</si>
  <si>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</si>
  <si>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</si>
  <si>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</si>
  <si>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</si>
  <si>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</si>
  <si>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</si>
  <si>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</si>
  <si>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</si>
  <si>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</si>
  <si>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</si>
  <si>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</si>
  <si>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</si>
  <si>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</si>
  <si>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</si>
  <si>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</si>
  <si>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</si>
  <si>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</si>
  <si>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</si>
  <si>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</si>
  <si>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</si>
  <si>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</si>
  <si>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</si>
  <si>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</si>
  <si>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</si>
  <si>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</si>
  <si>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</si>
  <si>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</si>
  <si>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</si>
  <si>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</si>
  <si>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</si>
  <si>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</si>
  <si>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</si>
  <si>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</si>
  <si>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</si>
  <si>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</si>
  <si>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</si>
  <si>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</si>
  <si>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</si>
  <si>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</si>
  <si>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</si>
  <si>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</si>
  <si>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</si>
  <si>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</si>
  <si>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</si>
  <si>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</si>
  <si>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</si>
  <si>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</si>
  <si>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</si>
  <si>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</si>
  <si>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</si>
  <si>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</si>
  <si>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</si>
  <si>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</si>
  <si>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</si>
  <si>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</si>
  <si>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</si>
  <si>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</si>
  <si>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</si>
  <si>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</si>
  <si>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</si>
  <si>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</si>
  <si>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</si>
  <si>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</si>
  <si>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</si>
  <si>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</si>
  <si>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</si>
  <si>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</si>
  <si>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</si>
  <si>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</si>
  <si>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</si>
  <si>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</si>
  <si>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</si>
  <si>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</si>
  <si>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</si>
  <si>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</si>
  <si>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</si>
  <si>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</si>
  <si>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</si>
  <si>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</si>
  <si>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</si>
  <si>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</si>
  <si>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</si>
  <si>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</si>
  <si>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</si>
  <si>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</si>
  <si>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</si>
  <si>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</si>
  <si>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</si>
  <si>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</si>
  <si>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</si>
  <si>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</si>
  <si>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</si>
  <si>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</si>
  <si>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</si>
  <si>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</si>
  <si>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</si>
  <si>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</si>
  <si>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</si>
  <si>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</si>
  <si>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</si>
  <si>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</si>
  <si>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</si>
  <si>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</si>
  <si>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</si>
  <si>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</si>
  <si>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</si>
  <si>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</si>
  <si>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</si>
  <si>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</si>
  <si>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</si>
  <si>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</si>
  <si>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</si>
  <si>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</si>
  <si>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</si>
  <si>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</si>
  <si>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</si>
  <si>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</si>
  <si>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</si>
  <si>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</si>
  <si>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</si>
  <si>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</si>
  <si>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</si>
  <si>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</si>
  <si>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</si>
  <si>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</si>
  <si>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</si>
  <si>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</si>
  <si>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</si>
  <si>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</si>
  <si>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</si>
  <si>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</si>
  <si>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</si>
  <si>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</si>
  <si>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</si>
  <si>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</si>
  <si>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</si>
  <si>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</si>
  <si>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</si>
  <si>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</si>
  <si>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</si>
  <si>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</si>
  <si>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</si>
  <si>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</si>
  <si>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</si>
  <si>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</si>
  <si>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</si>
  <si>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</si>
  <si>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</si>
  <si>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</si>
  <si>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</si>
  <si>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</si>
  <si>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</si>
  <si>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</si>
  <si>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</si>
  <si>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</si>
  <si>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</si>
  <si>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</si>
  <si>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</si>
  <si>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</si>
  <si>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</si>
  <si>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</si>
  <si>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</si>
  <si>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</si>
  <si>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</si>
  <si>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</si>
  <si>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</si>
  <si>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</si>
  <si>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</si>
  <si>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</si>
  <si>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</si>
  <si>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</si>
  <si>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</si>
  <si>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</si>
  <si>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</si>
  <si>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</si>
  <si>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</si>
  <si>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</si>
  <si>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</si>
  <si>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</si>
  <si>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</si>
  <si>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</si>
  <si>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</si>
  <si>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</si>
  <si>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</si>
  <si>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</si>
  <si>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</si>
  <si>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</si>
  <si>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</si>
  <si>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</si>
  <si>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</si>
  <si>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</si>
  <si>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</si>
  <si>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</si>
  <si>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</si>
  <si>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</si>
  <si>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</si>
  <si>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</si>
  <si>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</si>
  <si>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</si>
  <si>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</si>
  <si>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</si>
  <si>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</si>
  <si>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</si>
  <si>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</si>
  <si>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</si>
  <si>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</si>
  <si>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</si>
  <si>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</si>
  <si>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</si>
  <si>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</si>
  <si>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</si>
  <si>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</si>
  <si>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</si>
  <si>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</si>
  <si>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</si>
  <si>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</si>
  <si>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</si>
  <si>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</si>
  <si>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</si>
  <si>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</si>
  <si>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</si>
  <si>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</si>
  <si>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</si>
  <si>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</si>
  <si>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</si>
  <si>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</si>
  <si>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</si>
  <si>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</si>
  <si>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</si>
  <si>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</si>
  <si>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</si>
  <si>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</si>
  <si>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</si>
  <si>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</si>
  <si>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</si>
  <si>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</si>
  <si>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</si>
  <si>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</si>
  <si>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</si>
  <si>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</si>
  <si>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</si>
  <si>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</si>
  <si>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</si>
  <si>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</si>
  <si>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</si>
  <si>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</si>
  <si>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</si>
  <si>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</si>
  <si>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</si>
  <si>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</si>
  <si>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</si>
  <si>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</si>
  <si>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</si>
  <si>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</si>
  <si>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</si>
  <si>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</si>
  <si>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</si>
  <si>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</si>
  <si>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</si>
  <si>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</si>
  <si>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</si>
  <si>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</si>
  <si>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</si>
  <si>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</si>
  <si>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</si>
  <si>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</si>
  <si>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</si>
  <si>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</si>
  <si>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</si>
  <si>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</si>
  <si>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</si>
  <si>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</si>
  <si>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</si>
  <si>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</si>
  <si>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</si>
  <si>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</si>
  <si>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</si>
  <si>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</si>
  <si>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</si>
  <si>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</si>
  <si>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</si>
  <si>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</si>
  <si>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</si>
  <si>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</si>
  <si>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</si>
  <si>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</si>
  <si>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</si>
  <si>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</si>
  <si>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</si>
  <si>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</si>
  <si>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</si>
  <si>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</si>
  <si>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</si>
  <si>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</si>
  <si>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</si>
  <si>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</si>
  <si>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</si>
  <si>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</si>
  <si>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</si>
  <si>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</si>
  <si>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</si>
  <si>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</si>
  <si>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</si>
  <si>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</si>
  <si>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</si>
  <si>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</si>
  <si>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</si>
  <si>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</si>
  <si>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</si>
  <si>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</si>
  <si>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</si>
  <si>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</si>
  <si>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</si>
  <si>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</si>
  <si>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</si>
  <si>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</si>
  <si>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</si>
  <si>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</si>
  <si>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</si>
  <si>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</si>
  <si>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</si>
  <si>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</si>
  <si>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</si>
  <si>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</si>
  <si>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</si>
  <si>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</si>
  <si>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</si>
  <si>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</si>
  <si>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</si>
  <si>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</si>
  <si>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</si>
  <si>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</si>
  <si>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</si>
  <si>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</si>
  <si>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</si>
  <si>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</si>
  <si>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</si>
  <si>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</si>
  <si>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</si>
  <si>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</si>
  <si>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</si>
  <si>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</si>
  <si>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</si>
  <si>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</si>
  <si>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</si>
  <si>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</si>
  <si>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</si>
  <si>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</si>
  <si>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</si>
  <si>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</si>
  <si>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</si>
  <si>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</si>
  <si>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</si>
  <si>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</si>
  <si>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</si>
  <si>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</si>
  <si>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</si>
  <si>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</si>
  <si>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</si>
  <si>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</si>
  <si>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</si>
  <si>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</si>
  <si>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</si>
  <si>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</si>
  <si>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</si>
  <si>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</si>
  <si>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</si>
  <si>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</si>
  <si>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</si>
  <si>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</si>
  <si>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</si>
  <si>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</si>
  <si>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</si>
  <si>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</si>
  <si>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</si>
  <si>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</si>
  <si>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</si>
  <si>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</si>
  <si>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</si>
  <si>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</si>
  <si>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</si>
  <si>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</si>
  <si>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</si>
  <si>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</si>
  <si>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</si>
  <si>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</si>
  <si>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</si>
  <si>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</si>
  <si>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</si>
  <si>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</si>
  <si>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</si>
  <si>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</si>
  <si>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</si>
  <si>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</si>
  <si>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</si>
  <si>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</si>
  <si>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</si>
  <si>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</si>
  <si>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</si>
  <si>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</si>
  <si>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</si>
  <si>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</si>
  <si>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</si>
  <si>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</si>
  <si>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</si>
  <si>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</si>
  <si>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</si>
  <si>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</si>
  <si>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</si>
  <si>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</si>
  <si>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</si>
  <si>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</si>
  <si>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</si>
  <si>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</si>
  <si>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</si>
  <si>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</si>
  <si>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</si>
  <si>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</si>
  <si>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</si>
  <si>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</si>
  <si>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</si>
  <si>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</si>
  <si>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</si>
  <si>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</si>
  <si>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</si>
  <si>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</si>
  <si>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</si>
  <si>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</si>
  <si>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</si>
  <si>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</si>
  <si>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</si>
  <si>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</si>
  <si>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</si>
  <si>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</si>
  <si>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</si>
  <si>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</si>
  <si>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</si>
  <si>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</si>
  <si>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</si>
  <si>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</si>
  <si>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</si>
  <si>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</si>
  <si>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</si>
  <si>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</si>
  <si>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</si>
  <si>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</si>
  <si>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</si>
  <si>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</si>
  <si>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</si>
  <si>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</si>
  <si>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</si>
  <si>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</si>
  <si>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</si>
  <si>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</si>
  <si>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</si>
  <si>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</si>
  <si>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</si>
  <si>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</si>
  <si>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</si>
  <si>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</si>
  <si>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</si>
  <si>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</si>
  <si>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</si>
  <si>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</si>
  <si>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</si>
  <si>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</si>
  <si>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</si>
  <si>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</si>
  <si>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</si>
  <si>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</si>
  <si>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</si>
  <si>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</si>
  <si>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</si>
  <si>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</si>
  <si>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</si>
  <si>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</si>
  <si>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</si>
  <si>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</si>
  <si>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</si>
  <si>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</si>
  <si>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</si>
  <si>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</si>
  <si>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</si>
  <si>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</si>
  <si>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</si>
  <si>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</si>
  <si>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</si>
  <si>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</si>
  <si>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</si>
  <si>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</si>
  <si>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</si>
  <si>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</si>
  <si>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</si>
  <si>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</si>
  <si>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</si>
  <si>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</si>
  <si>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</si>
  <si>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</si>
  <si>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</si>
  <si>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</si>
  <si>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</si>
  <si>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</si>
  <si>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</si>
  <si>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</si>
  <si>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</si>
  <si>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</si>
  <si>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</si>
  <si>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</si>
  <si>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</si>
  <si>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</si>
  <si>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</si>
  <si>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</si>
  <si>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</si>
  <si>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</si>
  <si>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</si>
  <si>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</si>
  <si>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</si>
  <si>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</si>
  <si>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</si>
  <si>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</si>
  <si>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</si>
  <si>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</si>
  <si>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</si>
  <si>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</si>
  <si>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</si>
  <si>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</si>
  <si>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</si>
  <si>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</si>
  <si>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</si>
  <si>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</si>
  <si>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</si>
  <si>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</si>
  <si>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</si>
  <si>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</si>
  <si>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</si>
  <si>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</si>
  <si>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</si>
  <si>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</si>
  <si>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</si>
  <si>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</si>
  <si>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</si>
  <si>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</si>
  <si>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</si>
  <si>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</si>
  <si>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</si>
  <si>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</si>
  <si>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</si>
  <si>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</si>
  <si>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</si>
  <si>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</si>
  <si>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</si>
  <si>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</si>
  <si>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</si>
  <si>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</si>
  <si>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</si>
  <si>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</si>
  <si>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</si>
  <si>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</si>
  <si>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</si>
  <si>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</si>
  <si>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</si>
  <si>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</si>
  <si>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</si>
  <si>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</si>
  <si>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</si>
  <si>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</si>
  <si>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</si>
  <si>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</si>
  <si>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</si>
  <si>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</si>
  <si>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</si>
  <si>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</si>
  <si>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</si>
  <si>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</si>
  <si>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</si>
  <si>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</si>
  <si>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</si>
  <si>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</si>
  <si>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</si>
  <si>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</si>
  <si>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</si>
  <si>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</si>
  <si>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</si>
  <si>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</si>
  <si>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</si>
  <si>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</si>
  <si>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</si>
  <si>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</si>
  <si>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</si>
  <si>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</si>
  <si>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</si>
  <si>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</si>
  <si>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</si>
  <si>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</si>
  <si>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</si>
  <si>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</si>
  <si>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</si>
  <si>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</si>
  <si>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</si>
  <si>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</si>
  <si>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</si>
  <si>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</si>
  <si>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</si>
  <si>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</si>
  <si>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</si>
  <si>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</si>
  <si>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</si>
  <si>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</si>
  <si>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</si>
  <si>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</si>
  <si>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</si>
  <si>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</si>
  <si>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</si>
  <si>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</si>
  <si>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</si>
  <si>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</si>
  <si>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</si>
  <si>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</si>
  <si>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</si>
  <si>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</si>
  <si>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</si>
  <si>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</si>
  <si>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</si>
  <si>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</si>
  <si>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</si>
  <si>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</si>
  <si>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</si>
  <si>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</si>
  <si>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</si>
  <si>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</si>
  <si>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</si>
  <si>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</si>
  <si>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</si>
  <si>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</si>
  <si>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</si>
  <si>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</si>
  <si>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</si>
  <si>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</si>
  <si>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</si>
  <si>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</si>
  <si>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</si>
  <si>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</si>
  <si>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</si>
  <si>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</si>
  <si>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</si>
  <si>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</si>
  <si>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</si>
  <si>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</si>
  <si>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</si>
  <si>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</si>
  <si>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</si>
  <si>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</si>
  <si>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</si>
  <si>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</si>
  <si>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</si>
  <si>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</si>
  <si>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</si>
  <si>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</si>
  <si>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</si>
  <si>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</si>
  <si>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</si>
  <si>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</si>
  <si>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</si>
  <si>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</si>
  <si>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</si>
  <si>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</si>
  <si>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</si>
  <si>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</si>
  <si>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</si>
  <si>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</si>
  <si>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</si>
  <si>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</si>
  <si>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</si>
  <si>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</si>
  <si>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</si>
  <si>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</si>
  <si>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</si>
  <si>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</si>
  <si>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</si>
  <si>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</si>
  <si>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</si>
  <si>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</si>
  <si>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</si>
  <si>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</si>
  <si>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</si>
  <si>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</si>
  <si>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</si>
  <si>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</si>
  <si>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</si>
  <si>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</si>
  <si>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</si>
  <si>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</si>
  <si>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</si>
  <si>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</si>
  <si>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</si>
  <si>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</si>
  <si>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</si>
  <si>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</si>
  <si>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</si>
  <si>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</si>
  <si>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</si>
  <si>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</si>
  <si>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</si>
  <si>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</si>
  <si>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</si>
  <si>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</si>
  <si>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</si>
  <si>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</si>
  <si>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</si>
  <si>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</si>
  <si>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</si>
  <si>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</si>
  <si>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</si>
  <si>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</si>
  <si>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</si>
  <si>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</si>
  <si>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</si>
  <si>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</si>
  <si>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</si>
  <si>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</si>
  <si>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</si>
  <si>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</si>
  <si>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</si>
  <si>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</si>
  <si>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</si>
  <si>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</si>
  <si>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</si>
  <si>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</si>
  <si>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</si>
  <si>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</si>
  <si>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</si>
  <si>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</si>
  <si>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</si>
  <si>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</si>
  <si>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</si>
  <si>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</si>
  <si>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</si>
  <si>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</si>
  <si>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</si>
  <si>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</si>
  <si>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</si>
  <si>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</si>
  <si>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</si>
  <si>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</si>
  <si>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</si>
  <si>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</si>
  <si>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</si>
  <si>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</si>
  <si>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</si>
  <si>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</si>
  <si>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</si>
  <si>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</si>
  <si>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</si>
  <si>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</si>
  <si>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</si>
  <si>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</si>
  <si>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</si>
  <si>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</si>
  <si>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</si>
  <si>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</si>
  <si>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</si>
  <si>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</si>
  <si>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</si>
  <si>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</si>
  <si>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</si>
  <si>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</si>
  <si>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</si>
  <si>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</si>
  <si>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</si>
  <si>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</si>
  <si>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</si>
  <si>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</si>
  <si>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</si>
  <si>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</si>
  <si>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</si>
  <si>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</si>
  <si>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</si>
  <si>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</si>
  <si>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</si>
  <si>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</si>
  <si>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</si>
  <si>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</si>
  <si>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</si>
  <si>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</si>
  <si>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</si>
  <si>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</si>
  <si>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</si>
  <si>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</si>
  <si>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</si>
  <si>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</si>
  <si>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</si>
  <si>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</si>
  <si>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</si>
  <si>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</si>
  <si>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</si>
  <si>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</si>
  <si>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</si>
  <si>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</si>
  <si>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</si>
  <si>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</si>
  <si>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</si>
  <si>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</si>
  <si>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</si>
  <si>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</si>
  <si>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</si>
  <si>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</si>
  <si>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</si>
  <si>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</si>
  <si>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</si>
  <si>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</si>
  <si>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</si>
  <si>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</si>
  <si>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</si>
  <si>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</si>
  <si>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</si>
  <si>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</si>
  <si>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</si>
  <si>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</si>
  <si>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</si>
  <si>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</si>
  <si>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</si>
  <si>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</si>
  <si>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</si>
  <si>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</si>
  <si>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</si>
  <si>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</si>
  <si>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</si>
  <si>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</si>
  <si>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</si>
  <si>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</si>
  <si>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</si>
  <si>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</si>
  <si>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</si>
  <si>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</si>
  <si>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</si>
  <si>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</si>
  <si>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</si>
  <si>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</si>
  <si>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</si>
  <si>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</si>
  <si>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</si>
  <si>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</si>
  <si>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</si>
  <si>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</si>
  <si>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</si>
  <si>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</si>
  <si>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</si>
  <si>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</si>
  <si>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</si>
  <si>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</si>
  <si>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</si>
  <si>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</si>
  <si>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</si>
  <si>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</si>
  <si>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</si>
  <si>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</si>
  <si>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</si>
  <si>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</si>
  <si>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</si>
  <si>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</si>
  <si>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</si>
  <si>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</si>
  <si>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</si>
  <si>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</si>
  <si>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</si>
  <si>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</si>
  <si>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</si>
  <si>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</si>
  <si>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</si>
  <si>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</si>
  <si>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</si>
  <si>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</si>
  <si>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</si>
  <si>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</si>
  <si>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</si>
  <si>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</si>
  <si>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</si>
  <si>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</si>
  <si>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</si>
  <si>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</si>
  <si>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</si>
  <si>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</si>
  <si>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</si>
  <si>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</si>
  <si>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</si>
  <si>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</si>
  <si>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</si>
  <si>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</si>
  <si>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</si>
  <si>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</si>
  <si>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</si>
  <si>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</si>
  <si>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</si>
  <si>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</si>
  <si>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</si>
  <si>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</si>
  <si>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</si>
  <si>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</si>
  <si>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</si>
  <si>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</si>
  <si>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</si>
  <si>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</si>
  <si>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</si>
  <si>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</si>
  <si>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</si>
  <si>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</si>
  <si>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</si>
  <si>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</si>
  <si>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</si>
  <si>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</si>
  <si>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</si>
  <si>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</si>
  <si>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</si>
  <si>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</si>
  <si>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</si>
  <si>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</si>
  <si>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</si>
  <si>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</si>
  <si>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</si>
  <si>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</si>
  <si>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</si>
  <si>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</si>
  <si>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</si>
  <si>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</si>
  <si>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</si>
  <si>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</si>
  <si>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</si>
  <si>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</si>
  <si>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</si>
  <si>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</si>
  <si>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</si>
  <si>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</si>
  <si>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</si>
  <si>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</si>
  <si>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</si>
  <si>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</si>
  <si>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</si>
  <si>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</si>
  <si>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</si>
  <si>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</si>
  <si>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</si>
  <si>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</si>
  <si>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</si>
  <si>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</si>
  <si>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</si>
  <si>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</si>
  <si>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</si>
  <si>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</si>
  <si>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</si>
  <si>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</si>
  <si>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</si>
  <si>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</si>
  <si>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</si>
  <si>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</si>
  <si>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</si>
  <si>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</si>
  <si>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</si>
  <si>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</si>
  <si>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</si>
  <si>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</si>
  <si>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</si>
  <si>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</si>
  <si>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</si>
  <si>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</si>
  <si>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</si>
  <si>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</si>
  <si>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</si>
  <si>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</si>
  <si>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</si>
  <si>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</si>
  <si>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</si>
  <si>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</si>
  <si>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</si>
  <si>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</si>
  <si>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</si>
  <si>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</si>
  <si>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</si>
  <si>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</si>
  <si>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</si>
  <si>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</si>
  <si>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</si>
  <si>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</si>
  <si>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</si>
  <si>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</si>
  <si>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</si>
  <si>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</si>
  <si>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</si>
  <si>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</si>
  <si>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</si>
  <si>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</si>
  <si>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</si>
  <si>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</si>
  <si>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</si>
  <si>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</si>
  <si>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</si>
  <si>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</si>
  <si>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</si>
  <si>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</si>
  <si>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</si>
  <si>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</si>
  <si>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</si>
  <si>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</si>
  <si>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</si>
  <si>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</si>
  <si>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</si>
  <si>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</si>
  <si>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</si>
  <si>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</si>
  <si>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</si>
  <si>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</si>
  <si>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</si>
  <si>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STRATHAM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</si>
</sst>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511</v>
      </c>
      <c r="C2" s="21">
        <v>511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89452.77</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942226.41</v>
      </c>
      <c r="G10" s="18"/>
      <c r="H10" s="18"/>
      <c r="I10" s="18"/>
      <c r="J10" s="67">
        <f>SUM(I440)</f>
        <v>580636.69000000006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11546.43</v>
      </c>
      <c r="G13" s="18">
        <v>1578.93</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3288.61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1043248.6100000001</v>
      </c>
      <c r="G19" s="41">
        <f>SUM(G9:G18)</f>
        <v>4867.54</v>
      </c>
      <c r="H19" s="41">
        <f>SUM(H9:H18)</f>
        <v>0</v>
      </c>
      <c r="I19" s="41">
        <f>SUM(I9:I18)</f>
        <v>0</v>
      </c>
      <c r="J19" s="41">
        <f>SUM(J9:J18)</f>
        <v>580636.69000000006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36879.82</v>
      </c>
      <c r="G22" s="18">
        <v>-15886.47</v>
      </c>
      <c r="H22" s="18">
        <v>-20993.35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132537.13</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213741.42</v>
      </c>
      <c r="G24" s="18">
        <v>8504.06</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527767.15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910925.52</v>
      </c>
      <c r="G32" s="41">
        <f>SUM(G22:G31)</f>
        <v>-7382.41</v>
      </c>
      <c r="H32" s="41">
        <f>SUM(H22:H31)</f>
        <v>-20993.35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12249.95</v>
      </c>
      <c r="H48" s="18">
        <v>20993.35</v>
      </c>
      <c r="I48" s="18"/>
      <c r="J48" s="13">
        <f>SUM(I459)</f>
        <v>580636.69000000006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82323.09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132323.09</v>
      </c>
      <c r="G51" s="41">
        <f>SUM(G35:G50)</f>
        <v>12249.95</v>
      </c>
      <c r="H51" s="41">
        <f>SUM(H35:H50)</f>
        <v>20993.35</v>
      </c>
      <c r="I51" s="41">
        <f>SUM(I35:I50)</f>
        <v>0</v>
      </c>
      <c r="J51" s="41">
        <f>SUM(J35:J50)</f>
        <v>580636.69000000006</v>
      </c>
      <c r="K51" s="45" t="s">
        <v>288</v>
      </c>
      <c r="L51" s="45" t="s">
        <v>288</v>
      </c>
      <c r="N51" s="264"/>
    </row>
    <row r="52" spans="1:14" s="3" customFormat="1" ht="12.2" customHeight="1" thickTop="1" x14ac:dyDescent="0.15">
      <c r="A52" s="38" t="s">
        <v>455</v>
      </c>
      <c r="B52" s="39" t="s">
        <v>289</v>
      </c>
      <c r="C52" s="6">
        <v>37</v>
      </c>
      <c r="D52" s="39" t="s">
        <v>653</v>
      </c>
      <c r="E52" s="39"/>
      <c r="F52" s="41">
        <f>F51+F32</f>
        <v>1043248.61</v>
      </c>
      <c r="G52" s="41">
        <f>G51+G32</f>
        <v>4867.5400000000009</v>
      </c>
      <c r="H52" s="41">
        <f>H51+H32</f>
        <v>0</v>
      </c>
      <c r="I52" s="41">
        <f>I51+I32</f>
        <v>0</v>
      </c>
      <c r="J52" s="41">
        <f>J51+J32</f>
        <v>580636.69000000006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8474183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8474183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26400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26400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22789.26</v>
      </c>
      <c r="G96" s="18"/>
      <c r="H96" s="18"/>
      <c r="I96" s="18"/>
      <c r="J96" s="18">
        <v>9857.32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219146.67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701.8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9799.23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32588.489999999998</v>
      </c>
      <c r="G111" s="41">
        <f>SUM(G96:G110)</f>
        <v>219146.67</v>
      </c>
      <c r="H111" s="41">
        <f>SUM(H96:H110)</f>
        <v>701.8</v>
      </c>
      <c r="I111" s="41">
        <f>SUM(I96:I110)</f>
        <v>0</v>
      </c>
      <c r="J111" s="41">
        <f>SUM(J96:J110)</f>
        <v>9857.32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8533171.4900000002</v>
      </c>
      <c r="G112" s="41">
        <f>G60+G111</f>
        <v>219146.67</v>
      </c>
      <c r="H112" s="41">
        <f>H60+H79+H94+H111</f>
        <v>701.8</v>
      </c>
      <c r="I112" s="41">
        <f>I60+I111</f>
        <v>0</v>
      </c>
      <c r="J112" s="41">
        <f>J60+J111</f>
        <v>9857.32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838642.82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1158664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1997306.8199999998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92986.74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62842.14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3704.18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155828.88</v>
      </c>
      <c r="G136" s="41">
        <f>SUM(G123:G135)</f>
        <v>3704.18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2153135.6999999997</v>
      </c>
      <c r="G140" s="41">
        <f>G121+SUM(G136:G137)</f>
        <v>3704.18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34814.239999999998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25135.59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25135.59</v>
      </c>
      <c r="G162" s="41">
        <f>SUM(G150:G161)</f>
        <v>34814.239999999998</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25135.59</v>
      </c>
      <c r="G169" s="41">
        <f>G147+G162+SUM(G163:G168)</f>
        <v>34814.239999999998</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10711442.779999999</v>
      </c>
      <c r="G193" s="47">
        <f>G112+G140+G169+G192</f>
        <v>257665.09</v>
      </c>
      <c r="H193" s="47">
        <f>H112+H140+H169+H192</f>
        <v>701.8</v>
      </c>
      <c r="I193" s="47">
        <f>I112+I140+I169+I192</f>
        <v>0</v>
      </c>
      <c r="J193" s="47">
        <f>J112+J140+J192</f>
        <v>159857.32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3443512.44</v>
      </c>
      <c r="G197" s="18">
        <v>1398533.13</v>
      </c>
      <c r="H197" s="18">
        <v>43102.33</v>
      </c>
      <c r="I197" s="18">
        <v>98478.93</v>
      </c>
      <c r="J197" s="18">
        <v>19363.8</v>
      </c>
      <c r="K197" s="18"/>
      <c r="L197" s="19">
        <f>SUM(F197:K197)</f>
        <v>5002990.63</v>
      </c>
      <c r="M197" s="8"/>
      <c r="N197" s="266"/>
    </row>
    <row r="198" spans="1:14" s="3" customFormat="1" ht="12.2" customHeight="1" x14ac:dyDescent="0.15">
      <c r="A198" s="1" t="s">
        <v>439</v>
      </c>
      <c r="B198" s="2" t="s">
        <v>341</v>
      </c>
      <c r="C198" s="2" t="s">
        <v>291</v>
      </c>
      <c r="D198" s="2" t="s">
        <v>431</v>
      </c>
      <c r="E198" s="6">
        <v>1200</v>
      </c>
      <c r="F198" s="18">
        <v>1264320.99</v>
      </c>
      <c r="G198" s="18">
        <v>459266.18</v>
      </c>
      <c r="H198" s="18">
        <v>363573.88</v>
      </c>
      <c r="I198" s="18">
        <v>10487.63</v>
      </c>
      <c r="J198" s="18">
        <v>42825.33</v>
      </c>
      <c r="K198" s="18"/>
      <c r="L198" s="19">
        <f>SUM(F198:K198)</f>
        <v>2140474.0099999998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2600</v>
      </c>
      <c r="G200" s="18">
        <v>704.29</v>
      </c>
      <c r="H200" s="18"/>
      <c r="I200" s="18"/>
      <c r="J200" s="18"/>
      <c r="K200" s="18">
        <v>910.7</v>
      </c>
      <c r="L200" s="19">
        <f>SUM(F200:K200)</f>
        <v>4214.99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747102.85</v>
      </c>
      <c r="G202" s="18">
        <v>291784.78000000003</v>
      </c>
      <c r="H202" s="18">
        <v>15553.47</v>
      </c>
      <c r="I202" s="18">
        <v>6508.91</v>
      </c>
      <c r="J202" s="18"/>
      <c r="K202" s="18"/>
      <c r="L202" s="19">
        <f t="shared" ref="L202:L208" si="0">SUM(F202:K202)</f>
        <v>1060950.01</v>
      </c>
      <c r="M202" s="8"/>
      <c r="N202" s="266"/>
    </row>
    <row r="203" spans="1:14" s="3" customFormat="1" ht="12.2" customHeight="1" x14ac:dyDescent="0.15">
      <c r="A203" s="1" t="s">
        <v>443</v>
      </c>
      <c r="B203" s="2" t="s">
        <v>341</v>
      </c>
      <c r="C203" s="2" t="s">
        <v>295</v>
      </c>
      <c r="D203" s="2" t="s">
        <v>431</v>
      </c>
      <c r="E203" s="6">
        <v>2200</v>
      </c>
      <c r="F203" s="18">
        <v>316344.34000000003</v>
      </c>
      <c r="G203" s="18">
        <v>135502.48000000001</v>
      </c>
      <c r="H203" s="18">
        <v>158283.23000000001</v>
      </c>
      <c r="I203" s="18">
        <v>69693.279999999999</v>
      </c>
      <c r="J203" s="18">
        <v>80218.149999999994</v>
      </c>
      <c r="K203" s="18"/>
      <c r="L203" s="19">
        <f t="shared" si="0"/>
        <v>760041.4800000001</v>
      </c>
      <c r="M203" s="8"/>
      <c r="N203" s="266"/>
    </row>
    <row r="204" spans="1:14" s="3" customFormat="1" ht="12.2" customHeight="1" x14ac:dyDescent="0.15">
      <c r="A204" s="1" t="s">
        <v>444</v>
      </c>
      <c r="B204" s="2" t="s">
        <v>341</v>
      </c>
      <c r="C204" s="2" t="s">
        <v>296</v>
      </c>
      <c r="D204" s="2" t="s">
        <v>431</v>
      </c>
      <c r="E204" s="6">
        <v>2300</v>
      </c>
      <c r="F204" s="18">
        <v>6800</v>
      </c>
      <c r="G204" s="18">
        <v>539.79</v>
      </c>
      <c r="H204" s="18">
        <v>268594.38</v>
      </c>
      <c r="I204" s="18"/>
      <c r="J204" s="18"/>
      <c r="K204" s="18">
        <v>3896.93</v>
      </c>
      <c r="L204" s="19">
        <f t="shared" si="0"/>
        <v>279831.09999999998</v>
      </c>
      <c r="M204" s="8"/>
      <c r="N204" s="266"/>
    </row>
    <row r="205" spans="1:14" s="3" customFormat="1" ht="12.2" customHeight="1" x14ac:dyDescent="0.15">
      <c r="A205" s="1" t="s">
        <v>445</v>
      </c>
      <c r="B205" s="2" t="s">
        <v>341</v>
      </c>
      <c r="C205" s="2" t="s">
        <v>297</v>
      </c>
      <c r="D205" s="2" t="s">
        <v>431</v>
      </c>
      <c r="E205" s="6">
        <v>2400</v>
      </c>
      <c r="F205" s="18">
        <v>333945.65000000002</v>
      </c>
      <c r="G205" s="18">
        <v>136461.79</v>
      </c>
      <c r="H205" s="18">
        <v>40029.599999999999</v>
      </c>
      <c r="I205" s="18">
        <v>3950.98</v>
      </c>
      <c r="J205" s="18">
        <v>4670.46</v>
      </c>
      <c r="K205" s="18">
        <v>13825.85</v>
      </c>
      <c r="L205" s="19">
        <f t="shared" si="0"/>
        <v>532884.33000000007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193038.84</v>
      </c>
      <c r="G207" s="18">
        <v>70269.94</v>
      </c>
      <c r="H207" s="18">
        <v>156403.46</v>
      </c>
      <c r="I207" s="18">
        <v>149967.93</v>
      </c>
      <c r="J207" s="18">
        <v>48885.3</v>
      </c>
      <c r="K207" s="18"/>
      <c r="L207" s="19">
        <f t="shared" si="0"/>
        <v>618565.47</v>
      </c>
      <c r="M207" s="8"/>
      <c r="N207" s="266"/>
    </row>
    <row r="208" spans="1:14" s="3" customFormat="1" ht="12.2" customHeight="1" x14ac:dyDescent="0.15">
      <c r="A208" s="1" t="s">
        <v>448</v>
      </c>
      <c r="B208" s="2" t="s">
        <v>341</v>
      </c>
      <c r="C208" s="2" t="s">
        <v>300</v>
      </c>
      <c r="D208" s="2" t="s">
        <v>431</v>
      </c>
      <c r="E208" s="6">
        <v>2700</v>
      </c>
      <c r="F208" s="18"/>
      <c r="G208" s="18"/>
      <c r="H208" s="18">
        <v>416107.97</v>
      </c>
      <c r="I208" s="18"/>
      <c r="J208" s="18"/>
      <c r="K208" s="18"/>
      <c r="L208" s="19">
        <f t="shared" si="0"/>
        <v>416107.97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6307665.1099999994</v>
      </c>
      <c r="G211" s="41">
        <f t="shared" si="1"/>
        <v>2493062.38</v>
      </c>
      <c r="H211" s="41">
        <f t="shared" si="1"/>
        <v>1461648.3199999998</v>
      </c>
      <c r="I211" s="41">
        <f t="shared" si="1"/>
        <v>339087.66000000003</v>
      </c>
      <c r="J211" s="41">
        <f t="shared" si="1"/>
        <v>195963.03999999998</v>
      </c>
      <c r="K211" s="41">
        <f t="shared" si="1"/>
        <v>18633.48</v>
      </c>
      <c r="L211" s="41">
        <f t="shared" si="1"/>
        <v>10816059.99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6307665.1099999994</v>
      </c>
      <c r="G257" s="41">
        <f t="shared" si="8"/>
        <v>2493062.38</v>
      </c>
      <c r="H257" s="41">
        <f t="shared" si="8"/>
        <v>1461648.3199999998</v>
      </c>
      <c r="I257" s="41">
        <f t="shared" si="8"/>
        <v>339087.66000000003</v>
      </c>
      <c r="J257" s="41">
        <f t="shared" si="8"/>
        <v>195963.03999999998</v>
      </c>
      <c r="K257" s="41">
        <f t="shared" si="8"/>
        <v>18633.48</v>
      </c>
      <c r="L257" s="41">
        <f t="shared" si="8"/>
        <v>10816059.99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150000</v>
      </c>
      <c r="L266" s="19">
        <f t="shared" si="9"/>
        <v>150000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150000</v>
      </c>
      <c r="L270" s="41">
        <f t="shared" si="9"/>
        <v>150000</v>
      </c>
      <c r="N270" s="264"/>
    </row>
    <row r="271" spans="1:14" s="3" customFormat="1" ht="12.2" customHeight="1" thickTop="1" x14ac:dyDescent="0.2">
      <c r="A271" s="43" t="s">
        <v>464</v>
      </c>
      <c r="B271" s="40">
        <v>10</v>
      </c>
      <c r="C271" s="40">
        <v>18</v>
      </c>
      <c r="D271" s="39" t="s">
        <v>431</v>
      </c>
      <c r="E271" s="40"/>
      <c r="F271" s="42">
        <f t="shared" ref="F271:L271" si="11">F257+F270</f>
        <v>6307665.1099999994</v>
      </c>
      <c r="G271" s="42">
        <f t="shared" si="11"/>
        <v>2493062.38</v>
      </c>
      <c r="H271" s="42">
        <f t="shared" si="11"/>
        <v>1461648.3199999998</v>
      </c>
      <c r="I271" s="42">
        <f t="shared" si="11"/>
        <v>339087.66000000003</v>
      </c>
      <c r="J271" s="42">
        <f t="shared" si="11"/>
        <v>195963.03999999998</v>
      </c>
      <c r="K271" s="42">
        <f t="shared" si="11"/>
        <v>168633.48</v>
      </c>
      <c r="L271" s="42">
        <f t="shared" si="11"/>
        <v>10966059.99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v>416.5</v>
      </c>
      <c r="J276" s="18"/>
      <c r="K276" s="18"/>
      <c r="L276" s="19">
        <f>SUM(F276:K276)</f>
        <v>416.5</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416.5</v>
      </c>
      <c r="J290" s="42">
        <f t="shared" si="13"/>
        <v>0</v>
      </c>
      <c r="K290" s="42">
        <f t="shared" si="13"/>
        <v>0</v>
      </c>
      <c r="L290" s="41">
        <f t="shared" si="13"/>
        <v>416.5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416.5</v>
      </c>
      <c r="J338" s="41">
        <f t="shared" si="20"/>
        <v>0</v>
      </c>
      <c r="K338" s="41">
        <f t="shared" si="20"/>
        <v>0</v>
      </c>
      <c r="L338" s="41">
        <f t="shared" si="20"/>
        <v>416.5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416.5</v>
      </c>
      <c r="J352" s="41">
        <f>J338</f>
        <v>0</v>
      </c>
      <c r="K352" s="47">
        <f>K338+K351</f>
        <v>0</v>
      </c>
      <c r="L352" s="41">
        <f>L338+L351</f>
        <v>416.5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101414.34</v>
      </c>
      <c r="G358" s="18">
        <v>38598.910000000003</v>
      </c>
      <c r="H358" s="18">
        <v>9096.18</v>
      </c>
      <c r="I358" s="18">
        <v>96305.71</v>
      </c>
      <c r="J358" s="18"/>
      <c r="K358" s="18"/>
      <c r="L358" s="13">
        <f>SUM(F358:K358)</f>
        <v>245415.14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101414.34</v>
      </c>
      <c r="G362" s="47">
        <f t="shared" si="22"/>
        <v>38598.910000000003</v>
      </c>
      <c r="H362" s="47">
        <f t="shared" si="22"/>
        <v>9096.18</v>
      </c>
      <c r="I362" s="47">
        <f t="shared" si="22"/>
        <v>96305.71</v>
      </c>
      <c r="J362" s="47">
        <f t="shared" si="22"/>
        <v>0</v>
      </c>
      <c r="K362" s="47">
        <f t="shared" si="22"/>
        <v>0</v>
      </c>
      <c r="L362" s="47">
        <f t="shared" si="22"/>
        <v>245415.14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86071.53</v>
      </c>
      <c r="G367" s="18"/>
      <c r="H367" s="18"/>
      <c r="I367" s="56">
        <f>SUM(F367:H367)</f>
        <v>86071.53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10234.18</v>
      </c>
      <c r="G368" s="63"/>
      <c r="H368" s="63"/>
      <c r="I368" s="56">
        <f>SUM(F368:H368)</f>
        <v>10234.18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96305.709999999992</v>
      </c>
      <c r="G369" s="47">
        <f>SUM(G367:G368)</f>
        <v>0</v>
      </c>
      <c r="H369" s="47">
        <f>SUM(H367:H368)</f>
        <v>0</v>
      </c>
      <c r="I369" s="47">
        <f>SUM(I367:I368)</f>
        <v>96305.709999999992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100000</v>
      </c>
      <c r="H396" s="18">
        <v>1341.88</v>
      </c>
      <c r="I396" s="18"/>
      <c r="J396" s="24" t="s">
        <v>288</v>
      </c>
      <c r="K396" s="24" t="s">
        <v>288</v>
      </c>
      <c r="L396" s="56">
        <f t="shared" si="26"/>
        <v>101341.88</v>
      </c>
      <c r="M396" s="8"/>
      <c r="N396" s="266"/>
    </row>
    <row r="397" spans="1:14" s="3" customFormat="1" ht="12.2" customHeight="1" x14ac:dyDescent="0.15">
      <c r="A397" s="79" t="s">
        <v>515</v>
      </c>
      <c r="B397" s="2" t="s">
        <v>381</v>
      </c>
      <c r="C397" s="6">
        <v>10</v>
      </c>
      <c r="D397" s="2" t="s">
        <v>432</v>
      </c>
      <c r="E397" s="6"/>
      <c r="F397" s="18"/>
      <c r="G397" s="18">
        <v>50000</v>
      </c>
      <c r="H397" s="18">
        <v>8423.61</v>
      </c>
      <c r="I397" s="18"/>
      <c r="J397" s="24" t="s">
        <v>288</v>
      </c>
      <c r="K397" s="24" t="s">
        <v>288</v>
      </c>
      <c r="L397" s="56">
        <f t="shared" si="26"/>
        <v>58423.61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91.83</v>
      </c>
      <c r="I400" s="18"/>
      <c r="J400" s="24" t="s">
        <v>288</v>
      </c>
      <c r="K400" s="24" t="s">
        <v>288</v>
      </c>
      <c r="L400" s="56">
        <f t="shared" si="26"/>
        <v>91.83</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150000</v>
      </c>
      <c r="H401" s="47">
        <f>SUM(H395:H400)</f>
        <v>9857.3200000000015</v>
      </c>
      <c r="I401" s="47">
        <f>SUM(I395:I400)</f>
        <v>0</v>
      </c>
      <c r="J401" s="45" t="s">
        <v>288</v>
      </c>
      <c r="K401" s="45" t="s">
        <v>288</v>
      </c>
      <c r="L401" s="47">
        <f>SUM(L395:L400)</f>
        <v>159857.31999999998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150000</v>
      </c>
      <c r="H408" s="47">
        <f>H393+H401+H407</f>
        <v>9857.3200000000015</v>
      </c>
      <c r="I408" s="47">
        <f>I393+I401+I407</f>
        <v>0</v>
      </c>
      <c r="J408" s="24" t="s">
        <v>288</v>
      </c>
      <c r="K408" s="24" t="s">
        <v>288</v>
      </c>
      <c r="L408" s="47">
        <f>L393+L401+L407</f>
        <v>159857.31999999998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v>200000</v>
      </c>
      <c r="I423" s="18"/>
      <c r="J423" s="18"/>
      <c r="K423" s="18"/>
      <c r="L423" s="56">
        <f t="shared" si="29"/>
        <v>200000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200000</v>
      </c>
      <c r="I427" s="47">
        <f t="shared" si="30"/>
        <v>0</v>
      </c>
      <c r="J427" s="47">
        <f t="shared" si="30"/>
        <v>0</v>
      </c>
      <c r="K427" s="47">
        <f t="shared" si="30"/>
        <v>0</v>
      </c>
      <c r="L427" s="47">
        <f t="shared" si="30"/>
        <v>200000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200000</v>
      </c>
      <c r="I434" s="47">
        <f t="shared" si="32"/>
        <v>0</v>
      </c>
      <c r="J434" s="47">
        <f t="shared" si="32"/>
        <v>0</v>
      </c>
      <c r="K434" s="47">
        <f t="shared" si="32"/>
        <v>0</v>
      </c>
      <c r="L434" s="47">
        <f t="shared" si="32"/>
        <v>200000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576440.64</v>
      </c>
      <c r="G440" s="18">
        <v>4196.05</v>
      </c>
      <c r="H440" s="18"/>
      <c r="I440" s="56">
        <f t="shared" si="33"/>
        <v>580636.69000000006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576440.64</v>
      </c>
      <c r="G446" s="13">
        <f>SUM(G439:G445)</f>
        <v>4196.05</v>
      </c>
      <c r="H446" s="13">
        <f>SUM(H439:H445)</f>
        <v>0</v>
      </c>
      <c r="I446" s="13">
        <f>SUM(I439:I445)</f>
        <v>580636.69000000006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576440.64</v>
      </c>
      <c r="G459" s="18">
        <v>4196.05</v>
      </c>
      <c r="H459" s="18"/>
      <c r="I459" s="56">
        <f t="shared" si="34"/>
        <v>580636.69000000006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576440.64</v>
      </c>
      <c r="G460" s="83">
        <f>SUM(G454:G459)</f>
        <v>4196.05</v>
      </c>
      <c r="H460" s="83">
        <f>SUM(H454:H459)</f>
        <v>0</v>
      </c>
      <c r="I460" s="83">
        <f>SUM(I454:I459)</f>
        <v>580636.69000000006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576440.64</v>
      </c>
      <c r="G461" s="42">
        <f>G452+G460</f>
        <v>4196.05</v>
      </c>
      <c r="H461" s="42">
        <f>H452+H460</f>
        <v>0</v>
      </c>
      <c r="I461" s="42">
        <f>I452+I460</f>
        <v>580636.69000000006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386940.3</v>
      </c>
      <c r="G465" s="18">
        <v>0</v>
      </c>
      <c r="H465" s="18">
        <v>20708.05</v>
      </c>
      <c r="I465" s="18"/>
      <c r="J465" s="18">
        <v>620779.37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10711442.779999999</v>
      </c>
      <c r="G468" s="18">
        <v>257665.09</v>
      </c>
      <c r="H468" s="18">
        <v>701.8</v>
      </c>
      <c r="I468" s="18"/>
      <c r="J468" s="18">
        <v>159857.32</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10711442.779999999</v>
      </c>
      <c r="G470" s="53">
        <f>SUM(G468:G469)</f>
        <v>257665.09</v>
      </c>
      <c r="H470" s="53">
        <f>SUM(H468:H469)</f>
        <v>701.8</v>
      </c>
      <c r="I470" s="53">
        <f>SUM(I468:I469)</f>
        <v>0</v>
      </c>
      <c r="J470" s="53">
        <f>SUM(J468:J469)</f>
        <v>159857.32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10966059.99</v>
      </c>
      <c r="G472" s="18">
        <v>245415.14</v>
      </c>
      <c r="H472" s="18">
        <v>416.5</v>
      </c>
      <c r="I472" s="18"/>
      <c r="J472" s="18">
        <v>200000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10966059.99</v>
      </c>
      <c r="G474" s="53">
        <f>SUM(G472:G473)</f>
        <v>245415.14</v>
      </c>
      <c r="H474" s="53">
        <f>SUM(H472:H473)</f>
        <v>416.5</v>
      </c>
      <c r="I474" s="53">
        <f>SUM(I472:I473)</f>
        <v>0</v>
      </c>
      <c r="J474" s="53">
        <f>SUM(J472:J473)</f>
        <v>200000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132323.08999999985</v>
      </c>
      <c r="G476" s="53">
        <f>(G465+G470)- G474</f>
        <v>12249.949999999983</v>
      </c>
      <c r="H476" s="53">
        <f>(H465+H470)- H474</f>
        <v>20993.35</v>
      </c>
      <c r="I476" s="53">
        <f>(I465+I470)- I474</f>
        <v>0</v>
      </c>
      <c r="J476" s="53">
        <f>(J465+J470)- J474</f>
        <v>580636.68999999994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1100584.53</v>
      </c>
      <c r="G521" s="18">
        <v>459266.18</v>
      </c>
      <c r="H521" s="18">
        <v>363573.88</v>
      </c>
      <c r="I521" s="18">
        <v>10487.63</v>
      </c>
      <c r="J521" s="18">
        <v>42825.33</v>
      </c>
      <c r="K521" s="18"/>
      <c r="L521" s="88">
        <f>SUM(F521:K521)</f>
        <v>1976737.5499999998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1100584.53</v>
      </c>
      <c r="G524" s="108">
        <f t="shared" ref="G524:L524" si="36">SUM(G521:G523)</f>
        <v>459266.18</v>
      </c>
      <c r="H524" s="108">
        <f t="shared" si="36"/>
        <v>363573.88</v>
      </c>
      <c r="I524" s="108">
        <f t="shared" si="36"/>
        <v>10487.63</v>
      </c>
      <c r="J524" s="108">
        <f t="shared" si="36"/>
        <v>42825.33</v>
      </c>
      <c r="K524" s="108">
        <f t="shared" si="36"/>
        <v>0</v>
      </c>
      <c r="L524" s="89">
        <f t="shared" si="36"/>
        <v>1976737.5499999998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499625.23</v>
      </c>
      <c r="G526" s="18">
        <v>195145.66</v>
      </c>
      <c r="H526" s="18">
        <v>10402.16</v>
      </c>
      <c r="I526" s="18">
        <v>4353.16</v>
      </c>
      <c r="J526" s="18"/>
      <c r="K526" s="18"/>
      <c r="L526" s="88">
        <f>SUM(F526:K526)</f>
        <v>709526.21000000008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499625.23</v>
      </c>
      <c r="G529" s="89">
        <f t="shared" ref="G529:L529" si="37">SUM(G526:G528)</f>
        <v>195145.66</v>
      </c>
      <c r="H529" s="89">
        <f t="shared" si="37"/>
        <v>10402.16</v>
      </c>
      <c r="I529" s="89">
        <f t="shared" si="37"/>
        <v>4353.16</v>
      </c>
      <c r="J529" s="89">
        <f t="shared" si="37"/>
        <v>0</v>
      </c>
      <c r="K529" s="89">
        <f t="shared" si="37"/>
        <v>0</v>
      </c>
      <c r="L529" s="89">
        <f t="shared" si="37"/>
        <v>709526.21000000008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163736.46</v>
      </c>
      <c r="G531" s="18">
        <v>66907.22</v>
      </c>
      <c r="H531" s="18">
        <v>19626.509999999998</v>
      </c>
      <c r="I531" s="18">
        <v>1937.16</v>
      </c>
      <c r="J531" s="18">
        <v>2289.9299999999998</v>
      </c>
      <c r="K531" s="18">
        <v>9778.81</v>
      </c>
      <c r="L531" s="88">
        <f>SUM(F531:K531)</f>
        <v>264276.09000000003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163736.46</v>
      </c>
      <c r="G534" s="89">
        <f t="shared" ref="G534:L534" si="38">SUM(G531:G533)</f>
        <v>66907.22</v>
      </c>
      <c r="H534" s="89">
        <f t="shared" si="38"/>
        <v>19626.509999999998</v>
      </c>
      <c r="I534" s="89">
        <f t="shared" si="38"/>
        <v>1937.16</v>
      </c>
      <c r="J534" s="89">
        <f t="shared" si="38"/>
        <v>2289.9299999999998</v>
      </c>
      <c r="K534" s="89">
        <f t="shared" si="38"/>
        <v>9778.81</v>
      </c>
      <c r="L534" s="89">
        <f t="shared" si="38"/>
        <v>264276.09000000003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3198.06</v>
      </c>
      <c r="I536" s="18"/>
      <c r="J536" s="18"/>
      <c r="K536" s="18"/>
      <c r="L536" s="88">
        <f>SUM(F536:K536)</f>
        <v>3198.06</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3198.06</v>
      </c>
      <c r="I539" s="89">
        <f t="shared" si="39"/>
        <v>0</v>
      </c>
      <c r="J539" s="89">
        <f t="shared" si="39"/>
        <v>0</v>
      </c>
      <c r="K539" s="89">
        <f t="shared" si="39"/>
        <v>0</v>
      </c>
      <c r="L539" s="89">
        <f t="shared" si="39"/>
        <v>3198.06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98781</v>
      </c>
      <c r="I541" s="18"/>
      <c r="J541" s="18"/>
      <c r="K541" s="18"/>
      <c r="L541" s="88">
        <f>SUM(F541:K541)</f>
        <v>98781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98781</v>
      </c>
      <c r="I544" s="193">
        <f t="shared" si="40"/>
        <v>0</v>
      </c>
      <c r="J544" s="193">
        <f t="shared" si="40"/>
        <v>0</v>
      </c>
      <c r="K544" s="193">
        <f t="shared" si="40"/>
        <v>0</v>
      </c>
      <c r="L544" s="193">
        <f t="shared" si="40"/>
        <v>98781</v>
      </c>
      <c r="M544" s="8"/>
      <c r="N544" s="266"/>
    </row>
    <row r="545" spans="1:14" s="3" customFormat="1" ht="12.2" customHeight="1" thickTop="1" x14ac:dyDescent="0.15">
      <c r="A545" s="98" t="s">
        <v>72</v>
      </c>
      <c r="B545" s="107">
        <v>21</v>
      </c>
      <c r="C545" s="107">
        <v>21</v>
      </c>
      <c r="D545" s="158" t="s">
        <v>432</v>
      </c>
      <c r="E545" s="107"/>
      <c r="F545" s="89">
        <f>F524+F529+F534+F539+F544</f>
        <v>1763946.22</v>
      </c>
      <c r="G545" s="89">
        <f t="shared" ref="G545:L545" si="41">G524+G529+G534+G539+G544</f>
        <v>721319.05999999994</v>
      </c>
      <c r="H545" s="89">
        <f t="shared" si="41"/>
        <v>495581.61</v>
      </c>
      <c r="I545" s="89">
        <f t="shared" si="41"/>
        <v>16777.95</v>
      </c>
      <c r="J545" s="89">
        <f t="shared" si="41"/>
        <v>45115.26</v>
      </c>
      <c r="K545" s="89">
        <f t="shared" si="41"/>
        <v>9778.81</v>
      </c>
      <c r="L545" s="89">
        <f t="shared" si="41"/>
        <v>3052518.9099999997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1976737.5499999998</v>
      </c>
      <c r="G549" s="87">
        <f>L526</f>
        <v>709526.21000000008</v>
      </c>
      <c r="H549" s="87">
        <f>L531</f>
        <v>264276.09000000003</v>
      </c>
      <c r="I549" s="87">
        <f>L536</f>
        <v>3198.06</v>
      </c>
      <c r="J549" s="87">
        <f>L541</f>
        <v>98781</v>
      </c>
      <c r="K549" s="87">
        <f>SUM(F549:J549)</f>
        <v>3052518.9099999997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1976737.5499999998</v>
      </c>
      <c r="G552" s="89">
        <f t="shared" si="42"/>
        <v>709526.21000000008</v>
      </c>
      <c r="H552" s="89">
        <f t="shared" si="42"/>
        <v>264276.09000000003</v>
      </c>
      <c r="I552" s="89">
        <f t="shared" si="42"/>
        <v>3198.06</v>
      </c>
      <c r="J552" s="89">
        <f t="shared" si="42"/>
        <v>98781</v>
      </c>
      <c r="K552" s="89">
        <f t="shared" si="42"/>
        <v>3052518.9099999997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225603.21</v>
      </c>
      <c r="G582" s="18"/>
      <c r="H582" s="18"/>
      <c r="I582" s="87">
        <f t="shared" si="47"/>
        <v>225603.21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309889.08</v>
      </c>
      <c r="I591" s="18"/>
      <c r="J591" s="18"/>
      <c r="K591" s="104">
        <f t="shared" ref="K591:K597" si="48">SUM(H591:J591)</f>
        <v>309889.08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98781</v>
      </c>
      <c r="I592" s="18"/>
      <c r="J592" s="18"/>
      <c r="K592" s="104">
        <f t="shared" si="48"/>
        <v>98781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7437.89</v>
      </c>
      <c r="I595" s="18"/>
      <c r="J595" s="18"/>
      <c r="K595" s="104">
        <f t="shared" si="48"/>
        <v>7437.89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416107.97000000003</v>
      </c>
      <c r="I598" s="108">
        <f>SUM(I591:I597)</f>
        <v>0</v>
      </c>
      <c r="J598" s="108">
        <f>SUM(J591:J597)</f>
        <v>0</v>
      </c>
      <c r="K598" s="108">
        <f>SUM(K591:K597)</f>
        <v>416107.97000000003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47368</v>
      </c>
      <c r="I602" s="18"/>
      <c r="J602" s="18"/>
      <c r="K602" s="104">
        <f>SUM(H602:J602)</f>
        <v>47368</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148595.04</v>
      </c>
      <c r="I604" s="18"/>
      <c r="J604" s="18"/>
      <c r="K604" s="104">
        <f>SUM(H604:J604)</f>
        <v>148595.04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195963.04</v>
      </c>
      <c r="I605" s="108">
        <f>SUM(I602:I604)</f>
        <v>0</v>
      </c>
      <c r="J605" s="108">
        <f>SUM(J602:J604)</f>
        <v>0</v>
      </c>
      <c r="K605" s="108">
        <f>SUM(K602:K604)</f>
        <v>195963.04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1043248.6100000001</v>
      </c>
      <c r="H617" s="109">
        <f>SUM(F52)</f>
        <v>1043248.61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4867.54</v>
      </c>
      <c r="H618" s="109">
        <f>SUM(G52)</f>
        <v>4867.5400000000009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580636.69000000006</v>
      </c>
      <c r="H621" s="109">
        <f>SUM(J52)</f>
        <v>580636.69000000006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132323.09</v>
      </c>
      <c r="H622" s="109">
        <f>F476</f>
        <v>132323.08999999985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12249.95</v>
      </c>
      <c r="H623" s="109">
        <f>G476</f>
        <v>12249.949999999983</v>
      </c>
      <c r="I623" s="121" t="s">
        <v>102</v>
      </c>
      <c r="J623" s="109">
        <f t="shared" si="50"/>
        <v>1.8189894035458565E-11</v>
      </c>
      <c r="K623" s="109"/>
      <c r="L623" s="109"/>
      <c r="M623" s="8"/>
    </row>
    <row r="624" spans="1:14" s="3" customFormat="1" ht="12.2" customHeight="1" x14ac:dyDescent="0.15">
      <c r="A624" s="97"/>
      <c r="B624" s="105"/>
      <c r="C624" s="105"/>
      <c r="D624" s="105"/>
      <c r="E624" s="105"/>
      <c r="F624" s="120" t="s">
        <v>867</v>
      </c>
      <c r="G624" s="109">
        <f>H51</f>
        <v>20993.35</v>
      </c>
      <c r="H624" s="109">
        <f>H476</f>
        <v>20993.35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580636.69000000006</v>
      </c>
      <c r="H626" s="109">
        <f>J476</f>
        <v>580636.68999999994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10711442.779999999</v>
      </c>
      <c r="H627" s="104">
        <f>SUM(F468)</f>
        <v>10711442.779999999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257665.09</v>
      </c>
      <c r="H628" s="104">
        <f>SUM(G468)</f>
        <v>257665.09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701.8</v>
      </c>
      <c r="H629" s="104">
        <f>SUM(H468)</f>
        <v>701.8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159857.32</v>
      </c>
      <c r="H631" s="104">
        <f>SUM(J468)</f>
        <v>159857.32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10966059.99</v>
      </c>
      <c r="H632" s="104">
        <f>SUM(F472)</f>
        <v>10966059.99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416.5</v>
      </c>
      <c r="H633" s="104">
        <f>SUM(H472)</f>
        <v>416.5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96305.71</v>
      </c>
      <c r="H634" s="104">
        <f>I369</f>
        <v>96305.709999999992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245415.14</v>
      </c>
      <c r="H635" s="104">
        <f>SUM(G472)</f>
        <v>245415.14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159857.31999999998</v>
      </c>
      <c r="H637" s="164">
        <f>SUM(J468)</f>
        <v>159857.32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200000</v>
      </c>
      <c r="H638" s="164">
        <f>SUM(J472)</f>
        <v>200000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576440.64</v>
      </c>
      <c r="H639" s="104">
        <f>SUM(F461)</f>
        <v>576440.64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4196.05</v>
      </c>
      <c r="H640" s="104">
        <f>SUM(G461)</f>
        <v>4196.05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580636.69000000006</v>
      </c>
      <c r="H642" s="104">
        <f>SUM(I461)</f>
        <v>580636.69000000006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9857.32</v>
      </c>
      <c r="H644" s="104">
        <f>H408</f>
        <v>9857.3200000000015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150000</v>
      </c>
      <c r="H645" s="104">
        <f>G408</f>
        <v>150000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159857.32</v>
      </c>
      <c r="H646" s="104">
        <f>L408</f>
        <v>159857.31999999998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416107.97000000003</v>
      </c>
      <c r="H647" s="104">
        <f>L208+L226+L244</f>
        <v>416107.97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195963.04</v>
      </c>
      <c r="H648" s="104">
        <f>(J257+J338)-(J255+J336)</f>
        <v>195963.03999999998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416107.97</v>
      </c>
      <c r="H649" s="104">
        <f>H598</f>
        <v>416107.97000000003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150000</v>
      </c>
      <c r="H655" s="104">
        <f>K266+K347</f>
        <v>150000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11061891.630000001</v>
      </c>
      <c r="G660" s="19">
        <f>(L229+L309+L359)</f>
        <v>0</v>
      </c>
      <c r="H660" s="19">
        <f>(L247+L328+L360)</f>
        <v>0</v>
      </c>
      <c r="I660" s="19">
        <f>SUM(F660:H660)</f>
        <v>11061891.630000001</v>
      </c>
      <c r="J660" s="13"/>
      <c r="K660" s="13"/>
      <c r="L660" s="13"/>
      <c r="M660" s="9"/>
    </row>
    <row r="661" spans="1:13" s="3" customFormat="1" ht="12.2" customHeight="1" x14ac:dyDescent="0.2">
      <c r="A661" s="1" t="s">
        <v>127</v>
      </c>
      <c r="F661" s="19">
        <f>(L358/IF(SUM(L358:L360)=0,1,SUM(L358:L360))*(SUM(G97:G110)))</f>
        <v>219146.67</v>
      </c>
      <c r="G661" s="19">
        <f>(L359/IF(SUM(L358:L360)=0,1,SUM(L358:L360))*(SUM(G97:G110)))</f>
        <v>0</v>
      </c>
      <c r="H661" s="19">
        <f>(L360/IF(SUM(L358:L360)=0,1,SUM(L358:L360))*(SUM(G97:G110)))</f>
        <v>0</v>
      </c>
      <c r="I661" s="19">
        <f>SUM(F661:H661)</f>
        <v>219146.67</v>
      </c>
      <c r="J661"/>
      <c r="K661" s="13"/>
      <c r="L661" s="13"/>
      <c r="M661" s="9"/>
    </row>
    <row r="662" spans="1:13" s="3" customFormat="1" ht="12.2" customHeight="1" x14ac:dyDescent="0.2">
      <c r="A662" s="1" t="s">
        <v>128</v>
      </c>
      <c r="F662" s="19">
        <f>(L208+L287)-(J208+J287)</f>
        <v>416107.97</v>
      </c>
      <c r="G662" s="19">
        <f>(L226+L306)-(J226+J306)</f>
        <v>0</v>
      </c>
      <c r="H662" s="19">
        <f>(L244+L325)-(J244+J325)</f>
        <v>0</v>
      </c>
      <c r="I662" s="19">
        <f>SUM(F662:H662)</f>
        <v>416107.97</v>
      </c>
      <c r="J662"/>
      <c r="K662" s="13"/>
      <c r="L662" s="13"/>
      <c r="M662" s="8"/>
    </row>
    <row r="663" spans="1:13" s="3" customFormat="1" ht="12.2" customHeight="1" x14ac:dyDescent="0.15">
      <c r="A663" s="198" t="s">
        <v>129</v>
      </c>
      <c r="B663" s="169"/>
      <c r="C663" s="169"/>
      <c r="D663" s="169"/>
      <c r="E663" s="169"/>
      <c r="F663" s="199">
        <f>SUM(F575:F587)+SUM(H602:H604)+SUM(L611)</f>
        <v>421566.25</v>
      </c>
      <c r="G663" s="199">
        <f>SUM(G575:G587)+SUM(I602:I604)+L612</f>
        <v>0</v>
      </c>
      <c r="H663" s="199">
        <f>SUM(H575:H587)+SUM(J602:J604)+L613</f>
        <v>0</v>
      </c>
      <c r="I663" s="19">
        <f>SUM(F663:H663)</f>
        <v>421566.25</v>
      </c>
      <c r="J663" s="13"/>
      <c r="K663" s="13"/>
      <c r="L663" s="13"/>
      <c r="M663" s="9"/>
    </row>
    <row r="664" spans="1:13" s="3" customFormat="1" ht="12.2" customHeight="1" x14ac:dyDescent="0.15">
      <c r="A664" s="1" t="s">
        <v>130</v>
      </c>
      <c r="F664" s="19">
        <f>F660-SUM(F661:F663)</f>
        <v>10005070.74</v>
      </c>
      <c r="G664" s="19">
        <f>G660-SUM(G661:G663)</f>
        <v>0</v>
      </c>
      <c r="H664" s="19">
        <f>H660-SUM(H661:H663)</f>
        <v>0</v>
      </c>
      <c r="I664" s="19">
        <f>I660-SUM(I661:I663)</f>
        <v>10005070.74</v>
      </c>
      <c r="J664" s="13"/>
      <c r="K664" s="13"/>
      <c r="L664" s="13"/>
      <c r="M664" s="9"/>
    </row>
    <row r="665" spans="1:13" s="3" customFormat="1" ht="12.2" customHeight="1" x14ac:dyDescent="0.2">
      <c r="A665" s="1" t="s">
        <v>131</v>
      </c>
      <c r="F665" s="246">
        <v>545.22</v>
      </c>
      <c r="G665" s="247"/>
      <c r="H665" s="247"/>
      <c r="I665" s="19">
        <f>SUM(F665:H665)</f>
        <v>545.22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18350.52</v>
      </c>
      <c r="G667" s="19" t="e">
        <f>ROUND(G664/G665,2)</f>
        <v>#DIV/0!</v>
      </c>
      <c r="H667" s="19" t="e">
        <f>ROUND(H664/H665,2)</f>
        <v>#DIV/0!</v>
      </c>
      <c r="I667" s="19">
        <f>ROUND(I664/I665,2)</f>
        <v>18350.52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18350.52</v>
      </c>
      <c r="G672" s="19" t="e">
        <f>ROUND((G664+G669)/(G665+G670),2)</f>
        <v>#DIV/0!</v>
      </c>
      <c r="H672" s="19" t="e">
        <f>ROUND((H664+H669)/(H665+H670),2)</f>
        <v>#DIV/0!</v>
      </c>
      <c r="I672" s="19">
        <f>ROUND((I664+I669)/(I665+I670),2)</f>
        <v>18350.52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STRATHAM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3443512.44</v>
      </c>
      <c r="C9" s="229">
        <f>'DOE25'!G197+'DOE25'!G215+'DOE25'!G233+'DOE25'!G276+'DOE25'!G295+'DOE25'!G314</f>
        <v>1398533.13</v>
      </c>
    </row>
    <row r="10" spans="1:3" x14ac:dyDescent="0.2">
      <c r="A10" t="s">
        <v>775</v>
      </c>
      <c r="B10" s="240">
        <v>2820810.2</v>
      </c>
      <c r="C10" s="240">
        <v>1145631.56</v>
      </c>
    </row>
    <row r="11" spans="1:3" x14ac:dyDescent="0.2">
      <c r="A11" t="s">
        <v>776</v>
      </c>
      <c r="B11" s="240">
        <v>506044.38</v>
      </c>
      <c r="C11" s="240">
        <v>205522.66</v>
      </c>
    </row>
    <row r="12" spans="1:3" x14ac:dyDescent="0.2">
      <c r="A12" t="s">
        <v>777</v>
      </c>
      <c r="B12" s="240">
        <v>116657.86</v>
      </c>
      <c r="C12" s="240">
        <v>47378.91</v>
      </c>
    </row>
    <row r="13" spans="1:3" x14ac:dyDescent="0.2">
      <c r="A13" t="str">
        <f>IF(B9=B13,IF(C9=C13,"Check Total OK","Check Total Error"),"Check Total Error")</f>
        <v>Check Total OK</v>
      </c>
      <c r="B13" s="231">
        <f>SUM(B10:B12)</f>
        <v>3443512.44</v>
      </c>
      <c r="C13" s="231">
        <f>SUM(C10:C12)</f>
        <v>1398533.13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1264320.99</v>
      </c>
      <c r="C18" s="229">
        <f>'DOE25'!G198+'DOE25'!G216+'DOE25'!G234+'DOE25'!G277+'DOE25'!G296+'DOE25'!G315</f>
        <v>459266.18</v>
      </c>
    </row>
    <row r="19" spans="1:3" x14ac:dyDescent="0.2">
      <c r="A19" t="s">
        <v>775</v>
      </c>
      <c r="B19" s="240">
        <v>657734.63</v>
      </c>
      <c r="C19" s="240">
        <v>238922.92</v>
      </c>
    </row>
    <row r="20" spans="1:3" x14ac:dyDescent="0.2">
      <c r="A20" t="s">
        <v>776</v>
      </c>
      <c r="B20" s="240">
        <v>540349.85</v>
      </c>
      <c r="C20" s="240">
        <v>196282.76</v>
      </c>
    </row>
    <row r="21" spans="1:3" x14ac:dyDescent="0.2">
      <c r="A21" t="s">
        <v>777</v>
      </c>
      <c r="B21" s="240">
        <v>66236.509999999995</v>
      </c>
      <c r="C21" s="240">
        <v>24060.5</v>
      </c>
    </row>
    <row r="22" spans="1:3" x14ac:dyDescent="0.2">
      <c r="A22" t="str">
        <f>IF(B18=B22,IF(C18=C22,"Check Total OK","Check Total Error"),"Check Total Error")</f>
        <v>Check Total OK</v>
      </c>
      <c r="B22" s="231">
        <f>SUM(B19:B21)</f>
        <v>1264320.99</v>
      </c>
      <c r="C22" s="231">
        <f>SUM(C19:C21)</f>
        <v>459266.18000000005</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2600</v>
      </c>
      <c r="C36" s="235">
        <f>'DOE25'!G200+'DOE25'!G218+'DOE25'!G236+'DOE25'!G279+'DOE25'!G298+'DOE25'!G317</f>
        <v>704.29</v>
      </c>
    </row>
    <row r="37" spans="1:3" x14ac:dyDescent="0.2">
      <c r="A37" t="s">
        <v>775</v>
      </c>
      <c r="B37" s="240">
        <v>2600</v>
      </c>
      <c r="C37" s="240">
        <v>704.29</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2600</v>
      </c>
      <c r="C40" s="231">
        <f>SUM(C37:C39)</f>
        <v>704.29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STRATHAM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7147679.6299999999</v>
      </c>
      <c r="D5" s="20">
        <f>SUM('DOE25'!L197:L200)+SUM('DOE25'!L215:L218)+SUM('DOE25'!L233:L236)-F5-G5-H5</f>
        <v>7084579.7999999998</v>
      </c>
      <c r="E5" s="243"/>
      <c r="F5" s="244"/>
      <c r="G5" s="53">
        <f>SUM('DOE25'!J197:J200)+SUM('DOE25'!J215:J218)+SUM('DOE25'!J233:J236)</f>
        <v>62189.130000000005</v>
      </c>
      <c r="H5" s="53">
        <f>SUM('DOE25'!K197:K200)+SUM('DOE25'!K215:K218)+SUM('DOE25'!K233:K236)</f>
        <v>910.7</v>
      </c>
      <c r="I5" s="256"/>
    </row>
    <row r="6" spans="1:9" x14ac:dyDescent="0.2">
      <c r="A6" s="32">
        <v>2100</v>
      </c>
      <c r="B6" t="s">
        <v>796</v>
      </c>
      <c r="C6" s="276">
        <f t="shared" si="0"/>
        <v>1060950.01</v>
      </c>
      <c r="D6" s="20">
        <f>'DOE25'!L202+'DOE25'!L220+'DOE25'!L238-F6-G6-H6</f>
        <v>1060950.01</v>
      </c>
      <c r="E6" s="243"/>
      <c r="F6" s="244"/>
      <c r="G6" s="53">
        <f>'DOE25'!J202+'DOE25'!J220+'DOE25'!J238</f>
        <v>0</v>
      </c>
      <c r="H6" s="53">
        <f>'DOE25'!K202+'DOE25'!K220+'DOE25'!K238</f>
        <v>0</v>
      </c>
      <c r="I6" s="256"/>
    </row>
    <row r="7" spans="1:9" x14ac:dyDescent="0.2">
      <c r="A7" s="32">
        <v>2200</v>
      </c>
      <c r="B7" t="s">
        <v>821</v>
      </c>
      <c r="C7" s="276">
        <f t="shared" si="0"/>
        <v>760041.4800000001</v>
      </c>
      <c r="D7" s="20">
        <f>'DOE25'!L203+'DOE25'!L221+'DOE25'!L239-F7-G7-H7</f>
        <v>679823.33000000007</v>
      </c>
      <c r="E7" s="243"/>
      <c r="F7" s="244"/>
      <c r="G7" s="53">
        <f>'DOE25'!J203+'DOE25'!J221+'DOE25'!J239</f>
        <v>80218.149999999994</v>
      </c>
      <c r="H7" s="53">
        <f>'DOE25'!K203+'DOE25'!K221+'DOE25'!K239</f>
        <v>0</v>
      </c>
      <c r="I7" s="256"/>
    </row>
    <row r="8" spans="1:9" x14ac:dyDescent="0.2">
      <c r="A8" s="32">
        <v>2300</v>
      </c>
      <c r="B8" t="s">
        <v>797</v>
      </c>
      <c r="C8" s="276">
        <f t="shared" si="0"/>
        <v>211354.68</v>
      </c>
      <c r="D8" s="243"/>
      <c r="E8" s="20">
        <f>'DOE25'!L204+'DOE25'!L222+'DOE25'!L240-F8-G8-H8-D9-D11</f>
        <v>207457.75</v>
      </c>
      <c r="F8" s="244"/>
      <c r="G8" s="53">
        <f>'DOE25'!J204+'DOE25'!J222+'DOE25'!J240</f>
        <v>0</v>
      </c>
      <c r="H8" s="53">
        <f>'DOE25'!K204+'DOE25'!K222+'DOE25'!K240</f>
        <v>3896.93</v>
      </c>
      <c r="I8" s="256"/>
    </row>
    <row r="9" spans="1:9" ht="14.25" x14ac:dyDescent="0.2">
      <c r="A9" s="32">
        <v>2310</v>
      </c>
      <c r="B9" s="185" t="s">
        <v>890</v>
      </c>
      <c r="C9" s="276">
        <f t="shared" si="0"/>
        <v>11007.93</v>
      </c>
      <c r="D9" s="244">
        <v>11007.93</v>
      </c>
      <c r="E9" s="243"/>
      <c r="F9" s="253"/>
      <c r="G9" s="253"/>
      <c r="H9" s="253"/>
      <c r="I9" s="256"/>
    </row>
    <row r="10" spans="1:9" ht="14.25" x14ac:dyDescent="0.2">
      <c r="A10" s="32">
        <v>2317</v>
      </c>
      <c r="B10" s="185" t="s">
        <v>891</v>
      </c>
      <c r="C10" s="276">
        <f t="shared" si="0"/>
        <v>10000</v>
      </c>
      <c r="D10" s="243"/>
      <c r="E10" s="244">
        <v>10000</v>
      </c>
      <c r="F10" s="253"/>
      <c r="G10" s="253"/>
      <c r="H10" s="253"/>
      <c r="I10" s="256"/>
    </row>
    <row r="11" spans="1:9" ht="14.25" x14ac:dyDescent="0.2">
      <c r="A11" s="32">
        <v>2321</v>
      </c>
      <c r="B11" s="185" t="s">
        <v>892</v>
      </c>
      <c r="C11" s="276">
        <f t="shared" si="0"/>
        <v>57468.49</v>
      </c>
      <c r="D11" s="244">
        <v>57468.49</v>
      </c>
      <c r="E11" s="243"/>
      <c r="F11" s="253"/>
      <c r="G11" s="253"/>
      <c r="H11" s="253"/>
      <c r="I11" s="256"/>
    </row>
    <row r="12" spans="1:9" x14ac:dyDescent="0.2">
      <c r="A12" s="32">
        <v>2400</v>
      </c>
      <c r="B12" t="s">
        <v>711</v>
      </c>
      <c r="C12" s="276">
        <f t="shared" si="0"/>
        <v>532884.33000000019</v>
      </c>
      <c r="D12" s="20">
        <f>'DOE25'!L205+'DOE25'!L223+'DOE25'!L241-F12-G12-H12</f>
        <v>514388.02000000014</v>
      </c>
      <c r="E12" s="243"/>
      <c r="F12" s="244"/>
      <c r="G12" s="53">
        <f>'DOE25'!J205+'DOE25'!J223+'DOE25'!J241</f>
        <v>4670.46</v>
      </c>
      <c r="H12" s="53">
        <f>'DOE25'!K205+'DOE25'!K223+'DOE25'!K241</f>
        <v>13825.85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618565.47</v>
      </c>
      <c r="D14" s="20">
        <f>'DOE25'!L207+'DOE25'!L225+'DOE25'!L243-F14-G14-H14</f>
        <v>569680.16999999993</v>
      </c>
      <c r="E14" s="243"/>
      <c r="F14" s="244"/>
      <c r="G14" s="53">
        <f>'DOE25'!J207+'DOE25'!J225+'DOE25'!J243</f>
        <v>48885.3</v>
      </c>
      <c r="H14" s="53">
        <f>'DOE25'!K207+'DOE25'!K225+'DOE25'!K243</f>
        <v>0</v>
      </c>
      <c r="I14" s="256"/>
    </row>
    <row r="15" spans="1:9" x14ac:dyDescent="0.2">
      <c r="A15" s="32">
        <v>2700</v>
      </c>
      <c r="B15" t="s">
        <v>799</v>
      </c>
      <c r="C15" s="276">
        <f t="shared" si="0"/>
        <v>416107.97</v>
      </c>
      <c r="D15" s="20">
        <f>'DOE25'!L208+'DOE25'!L226+'DOE25'!L244-F15-G15-H15</f>
        <v>106218.88999999996</v>
      </c>
      <c r="E15" s="243"/>
      <c r="F15" s="244">
        <v>309889.08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159343.61000000002</v>
      </c>
      <c r="D29" s="284">
        <f>'DOE25'!L358+'DOE25'!L359+'DOE25'!L360-'DOE25'!I367-F29-G29-H29</f>
        <v>159343.61000000002</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416.5</v>
      </c>
      <c r="D31" s="20">
        <f>'DOE25'!L290+'DOE25'!L309+'DOE25'!L328+'DOE25'!L333+'DOE25'!L334+'DOE25'!L335-F31-G31-H31</f>
        <v>416.5</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10243876.75</v>
      </c>
      <c r="E33" s="245">
        <f t="shared" si="1"/>
        <v>217457.75</v>
      </c>
      <c r="F33" s="245">
        <f t="shared" si="1"/>
        <v>309889.08</v>
      </c>
      <c r="G33" s="245">
        <f t="shared" si="1"/>
        <v>195963.03999999998</v>
      </c>
      <c r="H33" s="245">
        <f t="shared" si="1"/>
        <v>18633.48</v>
      </c>
      <c r="I33" s="245">
        <f t="shared" si="1"/>
        <v>0</v>
      </c>
    </row>
    <row r="35" spans="1:9" ht="12" thickBot="1" x14ac:dyDescent="0.25">
      <c r="B35" s="251" t="s">
        <v>831</v>
      </c>
      <c r="D35" s="252">
        <f>E33</f>
        <v>217457.75</v>
      </c>
      <c r="E35" s="248"/>
    </row>
    <row r="36" spans="1:9" ht="12" thickTop="1" x14ac:dyDescent="0.2">
      <c r="B36" t="s">
        <v>810</v>
      </c>
      <c r="D36" s="20">
        <f>D33</f>
        <v>10243876.75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STRATHAM SCHOOL DISTRICT</v>
      </c>
      <c r="B2" s="126">
        <f>'DOE25'!B2</f>
        <v>511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10816476.49</v>
      </c>
      <c r="G4" s="303">
        <f>'DOE25'!L211+'DOE25'!L290</f>
        <v>10816476.49</v>
      </c>
      <c r="H4" s="304">
        <f>F4-G4</f>
        <v>0</v>
      </c>
      <c r="I4" s="310" t="str">
        <f>IF(H4=0,"","Does not match DOE25 page 7 and 11 Totals!!")</f>
        <v/>
      </c>
      <c r="N4"/>
    </row>
    <row r="5" spans="1:18" x14ac:dyDescent="0.2">
      <c r="A5" s="21" t="s">
        <v>1464</v>
      </c>
      <c r="B5" s="305">
        <f>IFERROR(VLOOKUP(A5,'School Tables'!$C$3:$D$368,2,FALSE),"")</f>
        <v>20615</v>
      </c>
      <c r="C5" s="297" t="str">
        <f>IFERROR(INDEX('School Tables'!$B$3:$B$368,MATCH('School Level Expenditures'!B5,'School Tables'!$D$3:$D$368,0)),"")</f>
        <v>Stratham</v>
      </c>
      <c r="D5" s="294">
        <v>10590873.279999999</v>
      </c>
      <c r="E5" s="294"/>
      <c r="F5" s="313">
        <f>D5+E5</f>
        <v>10590873.279999999</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225603.21</v>
      </c>
      <c r="E6" s="294"/>
      <c r="F6" s="308">
        <f t="shared" ref="F6:F20" si="0">D6+E6</f>
        <v>225603.21</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89452.77</v>
      </c>
      <c r="D8" s="95">
        <f>'DOE25'!G9</f>
        <v>0</v>
      </c>
      <c r="E8" s="95">
        <f>'DOE25'!H9</f>
        <v>0</v>
      </c>
      <c r="F8" s="95">
        <f>'DOE25'!I9</f>
        <v>0</v>
      </c>
      <c r="G8" s="95">
        <f>'DOE25'!J9</f>
        <v>0</v>
      </c>
      <c r="H8" s="124"/>
      <c r="I8" s="124"/>
    </row>
    <row r="9" spans="1:9" x14ac:dyDescent="0.2">
      <c r="A9" s="1" t="s">
        <v>140</v>
      </c>
      <c r="B9" s="6">
        <v>110</v>
      </c>
      <c r="C9" s="95">
        <f>'DOE25'!F10</f>
        <v>942226.41</v>
      </c>
      <c r="D9" s="95">
        <f>'DOE25'!G10</f>
        <v>0</v>
      </c>
      <c r="E9" s="95">
        <f>'DOE25'!H10</f>
        <v>0</v>
      </c>
      <c r="F9" s="95">
        <f>'DOE25'!I10</f>
        <v>0</v>
      </c>
      <c r="G9" s="95">
        <f>'DOE25'!J10</f>
        <v>580636.69000000006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11546.43</v>
      </c>
      <c r="D12" s="95">
        <f>'DOE25'!G13</f>
        <v>1578.93</v>
      </c>
      <c r="E12" s="95">
        <f>'DOE25'!H13</f>
        <v>0</v>
      </c>
      <c r="F12" s="95">
        <f>'DOE25'!I13</f>
        <v>0</v>
      </c>
      <c r="G12" s="95">
        <f>'DOE25'!J13</f>
        <v>0</v>
      </c>
      <c r="H12" s="124"/>
      <c r="I12" s="124"/>
    </row>
    <row r="13" spans="1:9" x14ac:dyDescent="0.2">
      <c r="A13" s="1" t="s">
        <v>144</v>
      </c>
      <c r="B13" s="6">
        <v>150</v>
      </c>
      <c r="C13" s="95">
        <f>'DOE25'!F14</f>
        <v>23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3288.61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1043248.6100000001</v>
      </c>
      <c r="D18" s="41">
        <f>SUM(D8:D17)</f>
        <v>4867.54</v>
      </c>
      <c r="E18" s="41">
        <f>SUM(E8:E17)</f>
        <v>0</v>
      </c>
      <c r="F18" s="41">
        <f>SUM(F8:F17)</f>
        <v>0</v>
      </c>
      <c r="G18" s="41">
        <f>SUM(G8:G17)</f>
        <v>580636.69000000006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36879.82</v>
      </c>
      <c r="D21" s="95">
        <f>'DOE25'!G22</f>
        <v>-15886.47</v>
      </c>
      <c r="E21" s="95">
        <f>'DOE25'!H22</f>
        <v>-20993.35</v>
      </c>
      <c r="F21" s="95">
        <f>'DOE25'!I22</f>
        <v>0</v>
      </c>
      <c r="G21" s="95">
        <f>'DOE25'!J22</f>
        <v>0</v>
      </c>
      <c r="H21" s="124"/>
      <c r="I21" s="124"/>
    </row>
    <row r="22" spans="1:9" x14ac:dyDescent="0.2">
      <c r="A22" s="1" t="s">
        <v>151</v>
      </c>
      <c r="B22" s="6">
        <v>410</v>
      </c>
      <c r="C22" s="95">
        <f>'DOE25'!F23</f>
        <v>132537.13</v>
      </c>
      <c r="D22" s="95">
        <f>'DOE25'!G23</f>
        <v>0</v>
      </c>
      <c r="E22" s="95">
        <f>'DOE25'!H23</f>
        <v>0</v>
      </c>
      <c r="F22" s="95">
        <f>'DOE25'!I23</f>
        <v>0</v>
      </c>
      <c r="G22" s="95">
        <f>'DOE25'!J23</f>
        <v>0</v>
      </c>
      <c r="H22" s="124"/>
      <c r="I22" s="124"/>
    </row>
    <row r="23" spans="1:9" x14ac:dyDescent="0.2">
      <c r="A23" s="1" t="s">
        <v>152</v>
      </c>
      <c r="B23" s="6">
        <v>420</v>
      </c>
      <c r="C23" s="95">
        <f>'DOE25'!F24</f>
        <v>213741.42</v>
      </c>
      <c r="D23" s="95">
        <f>'DOE25'!G24</f>
        <v>8504.06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527767.15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910925.52</v>
      </c>
      <c r="D31" s="41">
        <f>SUM(D21:D30)</f>
        <v>-7382.41</v>
      </c>
      <c r="E31" s="41">
        <f>SUM(E21:E30)</f>
        <v>-20993.35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12249.95</v>
      </c>
      <c r="E47" s="95">
        <f>'DOE25'!H48</f>
        <v>20993.35</v>
      </c>
      <c r="F47" s="95">
        <f>'DOE25'!I48</f>
        <v>0</v>
      </c>
      <c r="G47" s="95">
        <f>'DOE25'!J48</f>
        <v>580636.69000000006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82323.09</v>
      </c>
      <c r="D49" s="24" t="s">
        <v>288</v>
      </c>
      <c r="E49" s="24" t="s">
        <v>288</v>
      </c>
      <c r="F49" s="24" t="s">
        <v>288</v>
      </c>
      <c r="G49" s="24" t="s">
        <v>288</v>
      </c>
      <c r="H49" s="124"/>
      <c r="I49" s="124"/>
    </row>
    <row r="50" spans="1:9" ht="12.75" thickTop="1" thickBot="1" x14ac:dyDescent="0.25">
      <c r="A50" s="38" t="s">
        <v>884</v>
      </c>
      <c r="B50" s="48"/>
      <c r="C50" s="41">
        <f>SUM(C34:C49)</f>
        <v>132323.09</v>
      </c>
      <c r="D50" s="41">
        <f>SUM(D34:D49)</f>
        <v>12249.95</v>
      </c>
      <c r="E50" s="41">
        <f>SUM(E34:E49)</f>
        <v>20993.35</v>
      </c>
      <c r="F50" s="41">
        <f>SUM(F34:F49)</f>
        <v>0</v>
      </c>
      <c r="G50" s="41">
        <f>SUM(G34:G49)</f>
        <v>580636.69000000006</v>
      </c>
      <c r="H50" s="124"/>
      <c r="I50" s="124"/>
    </row>
    <row r="51" spans="1:9" ht="12" thickTop="1" x14ac:dyDescent="0.2">
      <c r="A51" s="38" t="s">
        <v>885</v>
      </c>
      <c r="B51" s="2"/>
      <c r="C51" s="41">
        <f>C50+C31</f>
        <v>1043248.61</v>
      </c>
      <c r="D51" s="41">
        <f>D50+D31</f>
        <v>4867.5400000000009</v>
      </c>
      <c r="E51" s="41">
        <f>E50+E31</f>
        <v>0</v>
      </c>
      <c r="F51" s="41">
        <f>F50+F31</f>
        <v>0</v>
      </c>
      <c r="G51" s="41">
        <f>G50+G31</f>
        <v>580636.69000000006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8474183</v>
      </c>
      <c r="D56" s="95">
        <f>'DOE25'!G60</f>
        <v>0</v>
      </c>
      <c r="E56" s="95">
        <f>'DOE25'!H60</f>
        <v>0</v>
      </c>
      <c r="F56" s="95">
        <f>'DOE25'!I60</f>
        <v>0</v>
      </c>
      <c r="G56" s="95">
        <f>'DOE25'!J60</f>
        <v>0</v>
      </c>
      <c r="H56"/>
      <c r="I56"/>
    </row>
    <row r="57" spans="1:9" x14ac:dyDescent="0.2">
      <c r="A57" s="1" t="s">
        <v>164</v>
      </c>
      <c r="B57" s="6" t="s">
        <v>165</v>
      </c>
      <c r="C57" s="95">
        <f>'DOE25'!F79</f>
        <v>26400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22789.26</v>
      </c>
      <c r="D59" s="95">
        <f>'DOE25'!G96</f>
        <v>0</v>
      </c>
      <c r="E59" s="95">
        <f>'DOE25'!H96</f>
        <v>0</v>
      </c>
      <c r="F59" s="95">
        <f>'DOE25'!I96</f>
        <v>0</v>
      </c>
      <c r="G59" s="95">
        <f>'DOE25'!J96</f>
        <v>9857.32</v>
      </c>
      <c r="H59"/>
      <c r="I59"/>
    </row>
    <row r="60" spans="1:9" x14ac:dyDescent="0.2">
      <c r="A60" s="1" t="s">
        <v>170</v>
      </c>
      <c r="B60" s="118" t="s">
        <v>171</v>
      </c>
      <c r="C60" s="24" t="s">
        <v>288</v>
      </c>
      <c r="D60" s="95">
        <f>'DOE25'!G97</f>
        <v>219146.67</v>
      </c>
      <c r="E60" s="24" t="s">
        <v>288</v>
      </c>
      <c r="F60" s="24" t="s">
        <v>288</v>
      </c>
      <c r="G60" s="24" t="s">
        <v>288</v>
      </c>
      <c r="H60"/>
      <c r="I60"/>
    </row>
    <row r="61" spans="1:9" ht="12" thickBot="1" x14ac:dyDescent="0.25">
      <c r="A61" s="1" t="s">
        <v>172</v>
      </c>
      <c r="B61" s="118" t="s">
        <v>173</v>
      </c>
      <c r="C61" s="95">
        <f>SUM('DOE25'!F98:F110)</f>
        <v>9799.23</v>
      </c>
      <c r="D61" s="95">
        <f>SUM('DOE25'!G98:G110)</f>
        <v>0</v>
      </c>
      <c r="E61" s="95">
        <f>SUM('DOE25'!H98:H110)</f>
        <v>701.8</v>
      </c>
      <c r="F61" s="95">
        <f>SUM('DOE25'!I98:I110)</f>
        <v>0</v>
      </c>
      <c r="G61" s="95">
        <f>SUM('DOE25'!J98:J110)</f>
        <v>0</v>
      </c>
      <c r="H61"/>
      <c r="I61"/>
    </row>
    <row r="62" spans="1:9" ht="12.75" thickTop="1" thickBot="1" x14ac:dyDescent="0.25">
      <c r="A62" s="29" t="s">
        <v>174</v>
      </c>
      <c r="B62" s="6"/>
      <c r="C62" s="130">
        <f>SUM(C57:C61)</f>
        <v>58988.489999999991</v>
      </c>
      <c r="D62" s="130">
        <f>SUM(D57:D61)</f>
        <v>219146.67</v>
      </c>
      <c r="E62" s="130">
        <f>SUM(E57:E61)</f>
        <v>701.8</v>
      </c>
      <c r="F62" s="130">
        <f>SUM(F57:F61)</f>
        <v>0</v>
      </c>
      <c r="G62" s="130">
        <f>SUM(G57:G61)</f>
        <v>9857.32</v>
      </c>
      <c r="H62"/>
      <c r="I62"/>
    </row>
    <row r="63" spans="1:9" ht="12" thickTop="1" x14ac:dyDescent="0.2">
      <c r="A63" s="29" t="s">
        <v>175</v>
      </c>
      <c r="B63" s="6"/>
      <c r="C63" s="22">
        <f>C56+C62</f>
        <v>8533171.4900000002</v>
      </c>
      <c r="D63" s="22">
        <f>D56+D62</f>
        <v>219146.67</v>
      </c>
      <c r="E63" s="22">
        <f>E56+E62</f>
        <v>701.8</v>
      </c>
      <c r="F63" s="22">
        <f>F56+F62</f>
        <v>0</v>
      </c>
      <c r="G63" s="22">
        <f>G56+G62</f>
        <v>9857.32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838642.82</v>
      </c>
      <c r="D66" s="24" t="s">
        <v>288</v>
      </c>
      <c r="E66" s="24" t="s">
        <v>288</v>
      </c>
      <c r="F66" s="24" t="s">
        <v>288</v>
      </c>
      <c r="G66" s="24" t="s">
        <v>288</v>
      </c>
      <c r="H66"/>
      <c r="I66"/>
    </row>
    <row r="67" spans="1:9" x14ac:dyDescent="0.2">
      <c r="A67" s="1" t="s">
        <v>770</v>
      </c>
      <c r="B67" s="6">
        <v>3112</v>
      </c>
      <c r="C67" s="95">
        <f>'DOE25'!F118</f>
        <v>1158664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1997306.8199999998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92986.74</v>
      </c>
      <c r="D74" s="24"/>
      <c r="E74" s="24"/>
      <c r="F74" s="24"/>
      <c r="G74" s="24"/>
      <c r="H74"/>
      <c r="I74"/>
    </row>
    <row r="75" spans="1:9" x14ac:dyDescent="0.2">
      <c r="A75" s="1" t="s">
        <v>256</v>
      </c>
      <c r="B75" s="6">
        <v>3230</v>
      </c>
      <c r="C75" s="95">
        <f>'DOE25'!F126</f>
        <v>62842.14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3704.18</v>
      </c>
      <c r="E77" s="95">
        <f>SUM('DOE25'!H131:H135)</f>
        <v>0</v>
      </c>
      <c r="F77" s="95">
        <f>SUM('DOE25'!I131:I135)</f>
        <v>0</v>
      </c>
      <c r="G77" s="95">
        <f>SUM('DOE25'!J131:J135)</f>
        <v>0</v>
      </c>
      <c r="H77"/>
      <c r="I77"/>
    </row>
    <row r="78" spans="1:9" ht="12.75" thickTop="1" thickBot="1" x14ac:dyDescent="0.25">
      <c r="A78" s="29" t="s">
        <v>259</v>
      </c>
      <c r="B78" s="6"/>
      <c r="C78" s="130">
        <f>SUM(C72:C77)</f>
        <v>155828.88</v>
      </c>
      <c r="D78" s="130">
        <f>SUM(D72:D77)</f>
        <v>3704.18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2153135.6999999997</v>
      </c>
      <c r="D81" s="130">
        <f>SUM(D79:D80)+D78+D70</f>
        <v>3704.18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25135.59</v>
      </c>
      <c r="D88" s="95">
        <f>SUM('DOE25'!G153:G161)</f>
        <v>34814.239999999998</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25135.59</v>
      </c>
      <c r="D91" s="131">
        <f>SUM(D85:D90)</f>
        <v>34814.239999999998</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150000</v>
      </c>
    </row>
    <row r="104" spans="1:7" ht="12.75" thickTop="1" thickBot="1" x14ac:dyDescent="0.25">
      <c r="A104" s="33" t="s">
        <v>761</v>
      </c>
      <c r="C104" s="86">
        <f>C63+C81+C91+C103</f>
        <v>10711442.779999999</v>
      </c>
      <c r="D104" s="86">
        <f>D63+D81+D91+D103</f>
        <v>257665.09</v>
      </c>
      <c r="E104" s="86">
        <f>E63+E81+E91+E103</f>
        <v>701.8</v>
      </c>
      <c r="F104" s="86">
        <f>F63+F81+F91+F103</f>
        <v>0</v>
      </c>
      <c r="G104" s="86">
        <f>G63+G81+G103</f>
        <v>159857.32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5002990.63</v>
      </c>
      <c r="D109" s="24" t="s">
        <v>288</v>
      </c>
      <c r="E109" s="95">
        <f>('DOE25'!L276)+('DOE25'!L295)+('DOE25'!L314)</f>
        <v>416.5</v>
      </c>
      <c r="F109" s="24" t="s">
        <v>288</v>
      </c>
      <c r="G109" s="24" t="s">
        <v>288</v>
      </c>
    </row>
    <row r="110" spans="1:7" x14ac:dyDescent="0.2">
      <c r="A110" t="s">
        <v>198</v>
      </c>
      <c r="B110" s="32" t="s">
        <v>199</v>
      </c>
      <c r="C110" s="95">
        <f>('DOE25'!L198)+('DOE25'!L216)+('DOE25'!L234)</f>
        <v>2140474.0099999998</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4214.99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7147679.6299999999</v>
      </c>
      <c r="D115" s="86">
        <f>SUM(D109:D114)</f>
        <v>0</v>
      </c>
      <c r="E115" s="86">
        <f>SUM(E109:E114)</f>
        <v>416.5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1060950.01</v>
      </c>
      <c r="D118" s="24" t="s">
        <v>288</v>
      </c>
      <c r="E118" s="95">
        <f>+('DOE25'!L281)+('DOE25'!L300)+('DOE25'!L319)</f>
        <v>0</v>
      </c>
      <c r="F118" s="24" t="s">
        <v>288</v>
      </c>
      <c r="G118" s="24" t="s">
        <v>288</v>
      </c>
    </row>
    <row r="119" spans="1:7" x14ac:dyDescent="0.2">
      <c r="A119" t="s">
        <v>208</v>
      </c>
      <c r="B119" s="32" t="s">
        <v>209</v>
      </c>
      <c r="C119" s="95">
        <f>('DOE25'!L203)+('DOE25'!L221)+('DOE25'!L239)</f>
        <v>760041.4800000001</v>
      </c>
      <c r="D119" s="24" t="s">
        <v>288</v>
      </c>
      <c r="E119" s="95">
        <f>+('DOE25'!L282)+('DOE25'!L301)+('DOE25'!L320)</f>
        <v>0</v>
      </c>
      <c r="F119" s="24" t="s">
        <v>288</v>
      </c>
      <c r="G119" s="24" t="s">
        <v>288</v>
      </c>
    </row>
    <row r="120" spans="1:7" x14ac:dyDescent="0.2">
      <c r="A120" t="s">
        <v>210</v>
      </c>
      <c r="B120" s="32" t="s">
        <v>211</v>
      </c>
      <c r="C120" s="95">
        <f>('DOE25'!L204)+('DOE25'!L222)+('DOE25'!L240)</f>
        <v>279831.09999999998</v>
      </c>
      <c r="D120" s="24" t="s">
        <v>288</v>
      </c>
      <c r="E120" s="95">
        <f>+('DOE25'!L283)+('DOE25'!L302)+('DOE25'!L321)</f>
        <v>0</v>
      </c>
      <c r="F120" s="24" t="s">
        <v>288</v>
      </c>
      <c r="G120" s="24" t="s">
        <v>288</v>
      </c>
    </row>
    <row r="121" spans="1:7" x14ac:dyDescent="0.2">
      <c r="A121" t="s">
        <v>212</v>
      </c>
      <c r="B121" s="32" t="s">
        <v>213</v>
      </c>
      <c r="C121" s="95">
        <f>('DOE25'!L205)+('DOE25'!L223)+('DOE25'!L241)</f>
        <v>532884.33000000007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618565.47</v>
      </c>
      <c r="D123" s="24" t="s">
        <v>288</v>
      </c>
      <c r="E123" s="95">
        <f>+('DOE25'!L286)+('DOE25'!L305)+('DOE25'!L324)</f>
        <v>0</v>
      </c>
      <c r="F123" s="24" t="s">
        <v>288</v>
      </c>
      <c r="G123" s="24" t="s">
        <v>288</v>
      </c>
    </row>
    <row r="124" spans="1:7" x14ac:dyDescent="0.2">
      <c r="A124" t="s">
        <v>218</v>
      </c>
      <c r="B124" s="32" t="s">
        <v>219</v>
      </c>
      <c r="C124" s="95">
        <f>('DOE25'!L208)+('DOE25'!L226)+('DOE25'!L244+'DOE25'!L254)</f>
        <v>416107.97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245415.14</v>
      </c>
      <c r="E127" s="24" t="s">
        <v>288</v>
      </c>
      <c r="F127" s="24" t="s">
        <v>288</v>
      </c>
      <c r="G127" s="24" t="s">
        <v>288</v>
      </c>
    </row>
    <row r="128" spans="1:7" ht="12.75" thickTop="1" thickBot="1" x14ac:dyDescent="0.25">
      <c r="A128" s="33" t="s">
        <v>226</v>
      </c>
      <c r="C128" s="86">
        <f>SUM(C118:C127)</f>
        <v>3668380.3600000003</v>
      </c>
      <c r="D128" s="86">
        <f>SUM(D118:D127)</f>
        <v>245415.14</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159857.31999999998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-9857.3199999999779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150000</v>
      </c>
      <c r="D144" s="141">
        <f>SUM(D130:D143)</f>
        <v>0</v>
      </c>
      <c r="E144" s="141">
        <f>SUM(E130:E143)</f>
        <v>0</v>
      </c>
      <c r="F144" s="141">
        <f>SUM(F130:F143)</f>
        <v>0</v>
      </c>
      <c r="G144" s="141">
        <f>SUM(G130:G143)</f>
        <v>0</v>
      </c>
    </row>
    <row r="145" spans="1:9" ht="12.75" thickTop="1" thickBot="1" x14ac:dyDescent="0.25">
      <c r="A145" s="33" t="s">
        <v>244</v>
      </c>
      <c r="C145" s="86">
        <f>(C115+C128+C144)</f>
        <v>10966059.99</v>
      </c>
      <c r="D145" s="86">
        <f>(D115+D128+D144)</f>
        <v>245415.14</v>
      </c>
      <c r="E145" s="86">
        <f>(E115+E128+E144)</f>
        <v>416.5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STRATHAM SCHOOL DISTRICT</v>
      </c>
    </row>
    <row r="3" spans="1:4" x14ac:dyDescent="0.2">
      <c r="B3" s="188" t="s">
        <v>1602</v>
      </c>
    </row>
    <row r="4" spans="1:4" x14ac:dyDescent="0.2">
      <c r="B4" t="s">
        <v>61</v>
      </c>
      <c r="C4" s="179">
        <f>IF('DOE25'!F665+'DOE25'!F670=0,0,ROUND('DOE25'!F672,0))</f>
        <v>18351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18351</v>
      </c>
    </row>
    <row r="9" spans="1:4" x14ac:dyDescent="0.2">
      <c r="A9" s="187" t="s">
        <v>94</v>
      </c>
      <c r="B9" s="188" t="s">
        <v>1603</v>
      </c>
      <c r="C9" s="181" t="s">
        <v>720</v>
      </c>
      <c r="D9" s="181" t="s">
        <v>721</v>
      </c>
    </row>
    <row r="10" spans="1:4" x14ac:dyDescent="0.2">
      <c r="A10">
        <v>1100</v>
      </c>
      <c r="B10" t="s">
        <v>702</v>
      </c>
      <c r="C10" s="179">
        <f>ROUND('DOE25'!L197+'DOE25'!L215+'DOE25'!L233+'DOE25'!L276+'DOE25'!L295+'DOE25'!L314,0)</f>
        <v>5003407</v>
      </c>
      <c r="D10" s="182">
        <f>ROUND((C10/$C$28)*100,1)</f>
        <v>46.1</v>
      </c>
    </row>
    <row r="11" spans="1:4" x14ac:dyDescent="0.2">
      <c r="A11">
        <v>1200</v>
      </c>
      <c r="B11" t="s">
        <v>703</v>
      </c>
      <c r="C11" s="179">
        <f>ROUND('DOE25'!L198+'DOE25'!L216+'DOE25'!L234+'DOE25'!L277+'DOE25'!L296+'DOE25'!L315,0)</f>
        <v>2140474</v>
      </c>
      <c r="D11" s="182">
        <f>ROUND((C11/$C$28)*100,1)</f>
        <v>19.7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4215</v>
      </c>
      <c r="D13" s="182">
        <f>ROUND((C13/$C$28)*100,1)</f>
        <v>0</v>
      </c>
    </row>
    <row r="14" spans="1:4" x14ac:dyDescent="0.2">
      <c r="D14" s="182"/>
    </row>
    <row r="15" spans="1:4" x14ac:dyDescent="0.2">
      <c r="A15">
        <v>2100</v>
      </c>
      <c r="B15" t="s">
        <v>706</v>
      </c>
      <c r="C15" s="179">
        <f>ROUND('DOE25'!L202+'DOE25'!L220+'DOE25'!L238+'DOE25'!L281+'DOE25'!L300+'DOE25'!L319,0)</f>
        <v>1060950</v>
      </c>
      <c r="D15" s="182">
        <f t="shared" ref="D15:D27" si="0">ROUND((C15/$C$28)*100,1)</f>
        <v>9.8000000000000007</v>
      </c>
    </row>
    <row r="16" spans="1:4" x14ac:dyDescent="0.2">
      <c r="A16">
        <v>2200</v>
      </c>
      <c r="B16" t="s">
        <v>707</v>
      </c>
      <c r="C16" s="179">
        <f>ROUND('DOE25'!L203+'DOE25'!L221+'DOE25'!L239+'DOE25'!L282+'DOE25'!L301+'DOE25'!L320,0)</f>
        <v>760041</v>
      </c>
      <c r="D16" s="182">
        <f t="shared" si="0"/>
        <v>7</v>
      </c>
    </row>
    <row r="17" spans="1:4" x14ac:dyDescent="0.2">
      <c r="A17" s="183" t="s">
        <v>723</v>
      </c>
      <c r="B17" t="s">
        <v>738</v>
      </c>
      <c r="C17" s="179">
        <f>ROUND('DOE25'!L204+'DOE25'!L209+'DOE25'!L222+'DOE25'!L227+'DOE25'!L240+'DOE25'!L245+'DOE25'!L283+'DOE25'!L288+'DOE25'!L302+'DOE25'!L307+'DOE25'!L321+'DOE25'!L326,0)</f>
        <v>279831</v>
      </c>
      <c r="D17" s="182">
        <f t="shared" si="0"/>
        <v>2.6</v>
      </c>
    </row>
    <row r="18" spans="1:4" x14ac:dyDescent="0.2">
      <c r="A18">
        <v>2400</v>
      </c>
      <c r="B18" t="s">
        <v>711</v>
      </c>
      <c r="C18" s="179">
        <f>ROUND('DOE25'!L205+'DOE25'!L223+'DOE25'!L241+'DOE25'!L284+'DOE25'!L303+'DOE25'!L322,0)</f>
        <v>532884</v>
      </c>
      <c r="D18" s="182">
        <f t="shared" si="0"/>
        <v>4.9000000000000004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618565</v>
      </c>
      <c r="D20" s="182">
        <f t="shared" si="0"/>
        <v>5.7</v>
      </c>
    </row>
    <row r="21" spans="1:4" x14ac:dyDescent="0.2">
      <c r="A21">
        <v>2700</v>
      </c>
      <c r="B21" t="s">
        <v>710</v>
      </c>
      <c r="C21" s="179">
        <f>ROUND('DOE25'!L208+'DOE25'!L226+'DOE25'!L244+'DOE25'!L287+'DOE25'!L306+'DOE25'!L325,0)</f>
        <v>416108</v>
      </c>
      <c r="D21" s="182">
        <f t="shared" si="0"/>
        <v>3.8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26268.329999999987</v>
      </c>
      <c r="D27" s="182">
        <f t="shared" si="0"/>
        <v>0.2</v>
      </c>
    </row>
    <row r="28" spans="1:4" x14ac:dyDescent="0.2">
      <c r="B28" s="187" t="s">
        <v>719</v>
      </c>
      <c r="C28" s="180">
        <f>SUM(C10:C27)</f>
        <v>10842743.33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10842743.33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8474183</v>
      </c>
      <c r="D35" s="182">
        <f t="shared" ref="D35:D40" si="1">ROUND((C35/$C$41)*100,1)</f>
        <v>78.8</v>
      </c>
    </row>
    <row r="36" spans="1:4" x14ac:dyDescent="0.2">
      <c r="B36" s="185" t="s">
        <v>739</v>
      </c>
      <c r="C36" s="179">
        <f>SUM('DOE25'!F112:J112)-SUM('DOE25'!G97:G110)+('DOE25'!F174+'DOE25'!F175+'DOE25'!I174+'DOE25'!I175)-C35</f>
        <v>69547.610000001267</v>
      </c>
      <c r="D36" s="182">
        <f t="shared" si="1"/>
        <v>0.6</v>
      </c>
    </row>
    <row r="37" spans="1:4" x14ac:dyDescent="0.2">
      <c r="A37" s="183" t="s">
        <v>835</v>
      </c>
      <c r="B37" s="185" t="s">
        <v>728</v>
      </c>
      <c r="C37" s="179">
        <f>ROUND('DOE25'!F117+'DOE25'!F118,0)</f>
        <v>1997307</v>
      </c>
      <c r="D37" s="182">
        <f t="shared" si="1"/>
        <v>18.600000000000001</v>
      </c>
    </row>
    <row r="38" spans="1:4" x14ac:dyDescent="0.2">
      <c r="A38" s="183" t="s">
        <v>734</v>
      </c>
      <c r="B38" s="185" t="s">
        <v>729</v>
      </c>
      <c r="C38" s="179">
        <f>ROUND(SUM('DOE25'!F140:J140)-SUM('DOE25'!F117:F119),0)</f>
        <v>159533</v>
      </c>
      <c r="D38" s="182">
        <f t="shared" si="1"/>
        <v>1.5</v>
      </c>
    </row>
    <row r="39" spans="1:4" x14ac:dyDescent="0.2">
      <c r="A39">
        <v>4000</v>
      </c>
      <c r="B39" s="185" t="s">
        <v>730</v>
      </c>
      <c r="C39" s="179">
        <f>ROUND('DOE25'!F169+'DOE25'!G169+'DOE25'!H169+'DOE25'!I169,0)</f>
        <v>59950</v>
      </c>
      <c r="D39" s="182">
        <f t="shared" si="1"/>
        <v>0.6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10760520.610000001</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STRATHAM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2019-10-01T12:29:25Z</cp:lastPrinted>
  <dcterms:created xsi:type="dcterms:W3CDTF">1997-12-04T19:04:30Z</dcterms:created>
  <dcterms:modified xsi:type="dcterms:W3CDTF">2019-11-22T14:42:11Z</dcterms:modified>
</cp:coreProperties>
</file>