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78" i="1" l="1"/>
  <c r="F50" i="1"/>
  <c r="F441"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L224" i="1"/>
  <c r="L242" i="1"/>
  <c r="C19" i="10" s="1"/>
  <c r="G16" i="13"/>
  <c r="H16" i="13"/>
  <c r="L209" i="1"/>
  <c r="E16" i="13" s="1"/>
  <c r="L227" i="1"/>
  <c r="L245" i="1"/>
  <c r="G5" i="13"/>
  <c r="H5" i="13"/>
  <c r="L197" i="1"/>
  <c r="L198" i="1"/>
  <c r="L199" i="1"/>
  <c r="L200" i="1"/>
  <c r="L215" i="1"/>
  <c r="L216" i="1"/>
  <c r="L217" i="1"/>
  <c r="L218" i="1"/>
  <c r="L233" i="1"/>
  <c r="L234" i="1"/>
  <c r="L235" i="1"/>
  <c r="L236" i="1"/>
  <c r="G6" i="13"/>
  <c r="H6" i="13"/>
  <c r="L202" i="1"/>
  <c r="L220" i="1"/>
  <c r="L238" i="1"/>
  <c r="G7" i="13"/>
  <c r="H7" i="13"/>
  <c r="L203" i="1"/>
  <c r="D7" i="13" s="1"/>
  <c r="L221" i="1"/>
  <c r="L239" i="1"/>
  <c r="G12" i="13"/>
  <c r="H12" i="13"/>
  <c r="L205" i="1"/>
  <c r="L223" i="1"/>
  <c r="L241" i="1"/>
  <c r="G14" i="13"/>
  <c r="H14" i="13"/>
  <c r="L207" i="1"/>
  <c r="L225" i="1"/>
  <c r="L243" i="1"/>
  <c r="G15" i="13"/>
  <c r="H15" i="13"/>
  <c r="L208" i="1"/>
  <c r="L226" i="1"/>
  <c r="L244" i="1"/>
  <c r="G17" i="13"/>
  <c r="H17" i="13"/>
  <c r="L251" i="1"/>
  <c r="D17" i="13" s="1"/>
  <c r="G18" i="13"/>
  <c r="H18" i="13"/>
  <c r="L252" i="1"/>
  <c r="D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L341" i="1"/>
  <c r="L342" i="1"/>
  <c r="L255" i="1"/>
  <c r="L336" i="1"/>
  <c r="C11" i="13"/>
  <c r="C10" i="13"/>
  <c r="C9" i="13"/>
  <c r="L361" i="1"/>
  <c r="L362" i="1" s="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H60" i="1"/>
  <c r="I60" i="1"/>
  <c r="F79" i="1"/>
  <c r="C57" i="2" s="1"/>
  <c r="F94" i="1"/>
  <c r="F111" i="1"/>
  <c r="G111" i="1"/>
  <c r="G112" i="1" s="1"/>
  <c r="H79" i="1"/>
  <c r="H94" i="1"/>
  <c r="H111" i="1"/>
  <c r="I111" i="1"/>
  <c r="I112" i="1" s="1"/>
  <c r="J111" i="1"/>
  <c r="J112" i="1" s="1"/>
  <c r="F121" i="1"/>
  <c r="F136" i="1"/>
  <c r="G121" i="1"/>
  <c r="G136" i="1"/>
  <c r="H121" i="1"/>
  <c r="H136" i="1"/>
  <c r="I121" i="1"/>
  <c r="I136" i="1"/>
  <c r="J121" i="1"/>
  <c r="J136" i="1"/>
  <c r="F147" i="1"/>
  <c r="F162" i="1"/>
  <c r="F169" i="1" s="1"/>
  <c r="G147" i="1"/>
  <c r="G162" i="1"/>
  <c r="H147" i="1"/>
  <c r="H162" i="1"/>
  <c r="I147" i="1"/>
  <c r="I162" i="1"/>
  <c r="C11" i="10"/>
  <c r="C12" i="10"/>
  <c r="C13" i="10"/>
  <c r="C15" i="10"/>
  <c r="C18" i="10"/>
  <c r="C20" i="10"/>
  <c r="L250" i="1"/>
  <c r="L332" i="1"/>
  <c r="L254" i="1"/>
  <c r="C124" i="2" s="1"/>
  <c r="C25" i="10"/>
  <c r="L268" i="1"/>
  <c r="L269" i="1"/>
  <c r="L349" i="1"/>
  <c r="E142" i="2" s="1"/>
  <c r="L350" i="1"/>
  <c r="I665" i="1"/>
  <c r="I670" i="1"/>
  <c r="F661" i="1"/>
  <c r="G661" i="1"/>
  <c r="H661" i="1"/>
  <c r="G662" i="1"/>
  <c r="H662" i="1"/>
  <c r="I669" i="1"/>
  <c r="C42" i="10"/>
  <c r="C3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C132" i="2"/>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09" i="2"/>
  <c r="C110" i="2"/>
  <c r="E110" i="2"/>
  <c r="C111" i="2"/>
  <c r="E111" i="2"/>
  <c r="C112" i="2"/>
  <c r="E112" i="2"/>
  <c r="C113" i="2"/>
  <c r="E113" i="2"/>
  <c r="C114" i="2"/>
  <c r="E114" i="2"/>
  <c r="D115" i="2"/>
  <c r="F115" i="2"/>
  <c r="G115" i="2"/>
  <c r="C118" i="2"/>
  <c r="E118" i="2"/>
  <c r="C119" i="2"/>
  <c r="E119" i="2"/>
  <c r="E120" i="2"/>
  <c r="C121" i="2"/>
  <c r="E121" i="2"/>
  <c r="E122" i="2"/>
  <c r="C123" i="2"/>
  <c r="E123" i="2"/>
  <c r="E124" i="2"/>
  <c r="C125" i="2"/>
  <c r="E125" i="2"/>
  <c r="D127" i="2"/>
  <c r="D128" i="2" s="1"/>
  <c r="F128" i="2"/>
  <c r="G128" i="2"/>
  <c r="C130" i="2"/>
  <c r="E130" i="2"/>
  <c r="F130" i="2"/>
  <c r="D134" i="2"/>
  <c r="D144" i="2" s="1"/>
  <c r="E134" i="2"/>
  <c r="F134" i="2"/>
  <c r="K419" i="1"/>
  <c r="K427" i="1"/>
  <c r="K433" i="1"/>
  <c r="L263" i="1"/>
  <c r="C135" i="2" s="1"/>
  <c r="E135" i="2"/>
  <c r="L264" i="1"/>
  <c r="C136" i="2" s="1"/>
  <c r="L265" i="1"/>
  <c r="C137" i="2" s="1"/>
  <c r="E137" i="2"/>
  <c r="C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G157" i="2" s="1"/>
  <c r="E157" i="2"/>
  <c r="F157" i="2"/>
  <c r="B158" i="2"/>
  <c r="C158" i="2"/>
  <c r="D158" i="2"/>
  <c r="E158" i="2"/>
  <c r="F158" i="2"/>
  <c r="B159" i="2"/>
  <c r="C159" i="2"/>
  <c r="D159" i="2"/>
  <c r="E159" i="2"/>
  <c r="F159" i="2"/>
  <c r="B160" i="2"/>
  <c r="C160" i="2"/>
  <c r="D160" i="2"/>
  <c r="E160" i="2"/>
  <c r="F160" i="2"/>
  <c r="F500" i="1"/>
  <c r="B161" i="2" s="1"/>
  <c r="G500" i="1"/>
  <c r="C161" i="2" s="1"/>
  <c r="H500" i="1"/>
  <c r="D161" i="2" s="1"/>
  <c r="G161" i="2" s="1"/>
  <c r="I500" i="1"/>
  <c r="E161" i="2" s="1"/>
  <c r="J500" i="1"/>
  <c r="F161" i="2" s="1"/>
  <c r="B162" i="2"/>
  <c r="C162" i="2"/>
  <c r="D162" i="2"/>
  <c r="E162" i="2"/>
  <c r="F162" i="2"/>
  <c r="B163" i="2"/>
  <c r="C163" i="2"/>
  <c r="D163" i="2"/>
  <c r="E163" i="2"/>
  <c r="F163" i="2"/>
  <c r="F503" i="1"/>
  <c r="B164" i="2" s="1"/>
  <c r="G503" i="1"/>
  <c r="C164" i="2" s="1"/>
  <c r="H503" i="1"/>
  <c r="D164" i="2" s="1"/>
  <c r="I503" i="1"/>
  <c r="E164" i="2" s="1"/>
  <c r="G164" i="2" s="1"/>
  <c r="J503" i="1"/>
  <c r="F164" i="2" s="1"/>
  <c r="F19" i="1"/>
  <c r="G19" i="1"/>
  <c r="H19" i="1"/>
  <c r="G619" i="1" s="1"/>
  <c r="I19" i="1"/>
  <c r="F32" i="1"/>
  <c r="F52" i="1" s="1"/>
  <c r="G32" i="1"/>
  <c r="H32" i="1"/>
  <c r="I32" i="1"/>
  <c r="H617" i="1"/>
  <c r="G52" i="1"/>
  <c r="H618" i="1" s="1"/>
  <c r="H51" i="1"/>
  <c r="H52" i="1" s="1"/>
  <c r="H619" i="1" s="1"/>
  <c r="I51" i="1"/>
  <c r="I52" i="1" s="1"/>
  <c r="H620" i="1" s="1"/>
  <c r="F177" i="1"/>
  <c r="I177" i="1"/>
  <c r="F183" i="1"/>
  <c r="F192" i="1" s="1"/>
  <c r="G183" i="1"/>
  <c r="H183" i="1"/>
  <c r="I183" i="1"/>
  <c r="J183" i="1"/>
  <c r="J192" i="1" s="1"/>
  <c r="F188" i="1"/>
  <c r="G188" i="1"/>
  <c r="H188" i="1"/>
  <c r="I188" i="1"/>
  <c r="F211" i="1"/>
  <c r="G211" i="1"/>
  <c r="H211" i="1"/>
  <c r="I211" i="1"/>
  <c r="J211" i="1"/>
  <c r="K211" i="1"/>
  <c r="F229" i="1"/>
  <c r="G229" i="1"/>
  <c r="H229" i="1"/>
  <c r="I229" i="1"/>
  <c r="J229" i="1"/>
  <c r="K229" i="1"/>
  <c r="K257" i="1" s="1"/>
  <c r="K271" i="1" s="1"/>
  <c r="F247" i="1"/>
  <c r="G247" i="1"/>
  <c r="H247" i="1"/>
  <c r="I247" i="1"/>
  <c r="J247" i="1"/>
  <c r="K247" i="1"/>
  <c r="F256" i="1"/>
  <c r="G256" i="1"/>
  <c r="L256" i="1" s="1"/>
  <c r="H256" i="1"/>
  <c r="I256" i="1"/>
  <c r="J256" i="1"/>
  <c r="K256" i="1"/>
  <c r="F257" i="1"/>
  <c r="F271" i="1" s="1"/>
  <c r="F290" i="1"/>
  <c r="G290" i="1"/>
  <c r="G338" i="1" s="1"/>
  <c r="G352" i="1" s="1"/>
  <c r="H290" i="1"/>
  <c r="I290" i="1"/>
  <c r="F309" i="1"/>
  <c r="G309" i="1"/>
  <c r="H309" i="1"/>
  <c r="I309" i="1"/>
  <c r="F328" i="1"/>
  <c r="G328" i="1"/>
  <c r="H328" i="1"/>
  <c r="I328" i="1"/>
  <c r="F337" i="1"/>
  <c r="G337" i="1"/>
  <c r="H337" i="1"/>
  <c r="I337" i="1"/>
  <c r="J337" i="1"/>
  <c r="J338" i="1" s="1"/>
  <c r="J352" i="1" s="1"/>
  <c r="K337" i="1"/>
  <c r="K338" i="1" s="1"/>
  <c r="K352" i="1" s="1"/>
  <c r="F362" i="1"/>
  <c r="G362" i="1"/>
  <c r="H362" i="1"/>
  <c r="I362" i="1"/>
  <c r="G634" i="1" s="1"/>
  <c r="J634" i="1" s="1"/>
  <c r="J362" i="1"/>
  <c r="K362" i="1"/>
  <c r="I368" i="1"/>
  <c r="F369" i="1"/>
  <c r="G369" i="1"/>
  <c r="H369" i="1"/>
  <c r="I369" i="1"/>
  <c r="L381" i="1"/>
  <c r="L382" i="1" s="1"/>
  <c r="G636" i="1" s="1"/>
  <c r="J636" i="1" s="1"/>
  <c r="F382" i="1"/>
  <c r="G382" i="1"/>
  <c r="H382" i="1"/>
  <c r="I382" i="1"/>
  <c r="J382" i="1"/>
  <c r="K382" i="1"/>
  <c r="F393" i="1"/>
  <c r="G393" i="1"/>
  <c r="H393" i="1"/>
  <c r="I393" i="1"/>
  <c r="F401" i="1"/>
  <c r="G401" i="1"/>
  <c r="H401" i="1"/>
  <c r="I401" i="1"/>
  <c r="F407" i="1"/>
  <c r="G407" i="1"/>
  <c r="H407" i="1"/>
  <c r="I407" i="1"/>
  <c r="F408" i="1"/>
  <c r="G408" i="1"/>
  <c r="H645" i="1" s="1"/>
  <c r="H408" i="1"/>
  <c r="I408" i="1"/>
  <c r="L413" i="1"/>
  <c r="L414" i="1"/>
  <c r="L419" i="1" s="1"/>
  <c r="L415" i="1"/>
  <c r="L416" i="1"/>
  <c r="L417" i="1"/>
  <c r="L418" i="1"/>
  <c r="F419" i="1"/>
  <c r="G419" i="1"/>
  <c r="H419" i="1"/>
  <c r="I419" i="1"/>
  <c r="J419" i="1"/>
  <c r="L421" i="1"/>
  <c r="L422" i="1"/>
  <c r="L423" i="1"/>
  <c r="L424" i="1"/>
  <c r="L425" i="1"/>
  <c r="L426" i="1"/>
  <c r="F427" i="1"/>
  <c r="G427" i="1"/>
  <c r="H427" i="1"/>
  <c r="I427" i="1"/>
  <c r="J427" i="1"/>
  <c r="L429" i="1"/>
  <c r="L430" i="1"/>
  <c r="L431" i="1"/>
  <c r="L432" i="1"/>
  <c r="L433" i="1" s="1"/>
  <c r="F433" i="1"/>
  <c r="G433" i="1"/>
  <c r="H433" i="1"/>
  <c r="I433" i="1"/>
  <c r="J433" i="1"/>
  <c r="F446" i="1"/>
  <c r="G639" i="1" s="1"/>
  <c r="G446" i="1"/>
  <c r="H446" i="1"/>
  <c r="F452" i="1"/>
  <c r="G452" i="1"/>
  <c r="H452" i="1"/>
  <c r="F460" i="1"/>
  <c r="F461" i="1" s="1"/>
  <c r="H639" i="1" s="1"/>
  <c r="G460" i="1"/>
  <c r="H460" i="1"/>
  <c r="H461" i="1" s="1"/>
  <c r="H641" i="1" s="1"/>
  <c r="J641" i="1" s="1"/>
  <c r="G461" i="1"/>
  <c r="F470" i="1"/>
  <c r="G470" i="1"/>
  <c r="H470" i="1"/>
  <c r="H476" i="1" s="1"/>
  <c r="H624" i="1" s="1"/>
  <c r="I470" i="1"/>
  <c r="J470" i="1"/>
  <c r="F474" i="1"/>
  <c r="G474" i="1"/>
  <c r="G476" i="1" s="1"/>
  <c r="H623" i="1" s="1"/>
  <c r="J623" i="1" s="1"/>
  <c r="H474" i="1"/>
  <c r="I474" i="1"/>
  <c r="J474" i="1"/>
  <c r="K495" i="1"/>
  <c r="K496" i="1"/>
  <c r="K497" i="1"/>
  <c r="K498" i="1"/>
  <c r="K499" i="1"/>
  <c r="K501" i="1"/>
  <c r="K502" i="1"/>
  <c r="K503" i="1"/>
  <c r="F517" i="1"/>
  <c r="G517" i="1"/>
  <c r="H517" i="1"/>
  <c r="I517" i="1"/>
  <c r="F524" i="1"/>
  <c r="G524" i="1"/>
  <c r="H524" i="1"/>
  <c r="I524" i="1"/>
  <c r="I545" i="1" s="1"/>
  <c r="J524" i="1"/>
  <c r="K524" i="1"/>
  <c r="L524" i="1"/>
  <c r="F529" i="1"/>
  <c r="G529" i="1"/>
  <c r="H529" i="1"/>
  <c r="H545" i="1" s="1"/>
  <c r="I529" i="1"/>
  <c r="J529" i="1"/>
  <c r="J545" i="1" s="1"/>
  <c r="K529" i="1"/>
  <c r="L529" i="1"/>
  <c r="F534" i="1"/>
  <c r="G534" i="1"/>
  <c r="G545" i="1" s="1"/>
  <c r="H534" i="1"/>
  <c r="I534" i="1"/>
  <c r="J534" i="1"/>
  <c r="K534" i="1"/>
  <c r="L534" i="1"/>
  <c r="F539" i="1"/>
  <c r="G539" i="1"/>
  <c r="H539" i="1"/>
  <c r="I539" i="1"/>
  <c r="J539" i="1"/>
  <c r="K539" i="1"/>
  <c r="L539" i="1"/>
  <c r="F544" i="1"/>
  <c r="G544" i="1"/>
  <c r="H544" i="1"/>
  <c r="I544" i="1"/>
  <c r="J544" i="1"/>
  <c r="K544" i="1"/>
  <c r="L544" i="1"/>
  <c r="L557" i="1"/>
  <c r="L560" i="1" s="1"/>
  <c r="L558" i="1"/>
  <c r="L559" i="1"/>
  <c r="F560" i="1"/>
  <c r="G560" i="1"/>
  <c r="H560" i="1"/>
  <c r="I560" i="1"/>
  <c r="J560" i="1"/>
  <c r="K560" i="1"/>
  <c r="L562" i="1"/>
  <c r="L563" i="1"/>
  <c r="L564" i="1"/>
  <c r="F565" i="1"/>
  <c r="F571" i="1" s="1"/>
  <c r="G565" i="1"/>
  <c r="H565" i="1"/>
  <c r="I565" i="1"/>
  <c r="J565" i="1"/>
  <c r="J571" i="1" s="1"/>
  <c r="K565" i="1"/>
  <c r="L567" i="1"/>
  <c r="L568" i="1"/>
  <c r="L569" i="1"/>
  <c r="F570" i="1"/>
  <c r="G570" i="1"/>
  <c r="H570" i="1"/>
  <c r="I570" i="1"/>
  <c r="I571" i="1" s="1"/>
  <c r="J570" i="1"/>
  <c r="K570" i="1"/>
  <c r="I575" i="1"/>
  <c r="I576" i="1"/>
  <c r="I577" i="1"/>
  <c r="I578" i="1"/>
  <c r="I579" i="1"/>
  <c r="I580" i="1"/>
  <c r="I581" i="1"/>
  <c r="I582" i="1"/>
  <c r="I583" i="1"/>
  <c r="I584" i="1"/>
  <c r="I585" i="1"/>
  <c r="I586" i="1"/>
  <c r="I587" i="1"/>
  <c r="K591" i="1"/>
  <c r="K598" i="1" s="1"/>
  <c r="G647" i="1" s="1"/>
  <c r="K592" i="1"/>
  <c r="K593" i="1"/>
  <c r="K594" i="1"/>
  <c r="K595" i="1"/>
  <c r="K596" i="1"/>
  <c r="K597" i="1"/>
  <c r="H598" i="1"/>
  <c r="H649" i="1" s="1"/>
  <c r="I598" i="1"/>
  <c r="H650" i="1" s="1"/>
  <c r="J598" i="1"/>
  <c r="H651" i="1" s="1"/>
  <c r="J651" i="1" s="1"/>
  <c r="K602" i="1"/>
  <c r="K603" i="1"/>
  <c r="K604" i="1"/>
  <c r="K605" i="1" s="1"/>
  <c r="G648" i="1" s="1"/>
  <c r="H605" i="1"/>
  <c r="I605" i="1"/>
  <c r="J605" i="1"/>
  <c r="F614" i="1"/>
  <c r="G614" i="1"/>
  <c r="H614" i="1"/>
  <c r="I614" i="1"/>
  <c r="J614" i="1"/>
  <c r="K614" i="1"/>
  <c r="L614" i="1"/>
  <c r="G617" i="1"/>
  <c r="G618" i="1"/>
  <c r="G620" i="1"/>
  <c r="G622" i="1"/>
  <c r="G623" i="1"/>
  <c r="G625" i="1"/>
  <c r="H627" i="1"/>
  <c r="H628" i="1"/>
  <c r="H629" i="1"/>
  <c r="H630" i="1"/>
  <c r="H631" i="1"/>
  <c r="H632" i="1"/>
  <c r="H633" i="1"/>
  <c r="H634" i="1"/>
  <c r="H635" i="1"/>
  <c r="H636" i="1"/>
  <c r="H637" i="1"/>
  <c r="H638" i="1"/>
  <c r="G640" i="1"/>
  <c r="H640" i="1"/>
  <c r="G641" i="1"/>
  <c r="G643" i="1"/>
  <c r="H643" i="1"/>
  <c r="G644" i="1"/>
  <c r="H644" i="1"/>
  <c r="G645" i="1"/>
  <c r="J645" i="1" s="1"/>
  <c r="H647" i="1"/>
  <c r="G649" i="1"/>
  <c r="G650" i="1"/>
  <c r="G651" i="1"/>
  <c r="G652" i="1"/>
  <c r="H652" i="1"/>
  <c r="G653" i="1"/>
  <c r="H653" i="1"/>
  <c r="G654" i="1"/>
  <c r="H654" i="1"/>
  <c r="H655" i="1"/>
  <c r="J655" i="1" s="1"/>
  <c r="I257" i="1"/>
  <c r="I271" i="1" s="1"/>
  <c r="C18" i="2"/>
  <c r="C26" i="10"/>
  <c r="L328" i="1"/>
  <c r="L351" i="1"/>
  <c r="L290" i="1"/>
  <c r="A31" i="12"/>
  <c r="C70" i="2"/>
  <c r="A40" i="12"/>
  <c r="D62" i="2"/>
  <c r="D63" i="2" s="1"/>
  <c r="C18" i="13"/>
  <c r="D18" i="2"/>
  <c r="C91" i="2"/>
  <c r="F78" i="2"/>
  <c r="F81" i="2" s="1"/>
  <c r="D31" i="2"/>
  <c r="C78" i="2"/>
  <c r="C81" i="2" s="1"/>
  <c r="D50" i="2"/>
  <c r="F18" i="2"/>
  <c r="G156" i="2"/>
  <c r="E115" i="2"/>
  <c r="E103" i="2"/>
  <c r="D91" i="2"/>
  <c r="E62" i="2"/>
  <c r="E63" i="2" s="1"/>
  <c r="E31" i="2"/>
  <c r="G62" i="2"/>
  <c r="E78" i="2"/>
  <c r="E81" i="2" s="1"/>
  <c r="L427" i="1"/>
  <c r="J257" i="1"/>
  <c r="J271" i="1" s="1"/>
  <c r="H112" i="1"/>
  <c r="K571" i="1"/>
  <c r="D81" i="2"/>
  <c r="I169" i="1"/>
  <c r="H169" i="1"/>
  <c r="G552" i="1"/>
  <c r="J643" i="1"/>
  <c r="I476" i="1"/>
  <c r="H625" i="1" s="1"/>
  <c r="J625" i="1" s="1"/>
  <c r="J140" i="1"/>
  <c r="I552" i="1"/>
  <c r="K549" i="1"/>
  <c r="K550" i="1"/>
  <c r="G22" i="2"/>
  <c r="K545" i="1"/>
  <c r="J552" i="1"/>
  <c r="H552" i="1"/>
  <c r="C29" i="10"/>
  <c r="I661" i="1"/>
  <c r="H140" i="1"/>
  <c r="L401" i="1"/>
  <c r="C139" i="2" s="1"/>
  <c r="L393" i="1"/>
  <c r="G22" i="13"/>
  <c r="C22" i="13" s="1"/>
  <c r="I25" i="13"/>
  <c r="C25" i="13" s="1"/>
  <c r="J640" i="1"/>
  <c r="H571" i="1"/>
  <c r="F338" i="1"/>
  <c r="F352" i="1" s="1"/>
  <c r="G192" i="1"/>
  <c r="H192" i="1"/>
  <c r="F552" i="1"/>
  <c r="C35" i="10"/>
  <c r="L309" i="1"/>
  <c r="L570" i="1"/>
  <c r="G36" i="2"/>
  <c r="L565" i="1"/>
  <c r="K551" i="1"/>
  <c r="C138" i="2"/>
  <c r="I33" i="13"/>
  <c r="J476" i="1" l="1"/>
  <c r="H626" i="1" s="1"/>
  <c r="J644" i="1"/>
  <c r="J649" i="1"/>
  <c r="L545" i="1"/>
  <c r="J639" i="1"/>
  <c r="F476" i="1"/>
  <c r="H622" i="1" s="1"/>
  <c r="J622" i="1" s="1"/>
  <c r="C21" i="10"/>
  <c r="F662" i="1"/>
  <c r="I662" i="1" s="1"/>
  <c r="J647" i="1"/>
  <c r="L270" i="1"/>
  <c r="H257" i="1"/>
  <c r="H271" i="1" s="1"/>
  <c r="C122" i="2"/>
  <c r="L211" i="1"/>
  <c r="C17" i="10"/>
  <c r="E8" i="13"/>
  <c r="C8" i="13" s="1"/>
  <c r="L247" i="1"/>
  <c r="H660" i="1" s="1"/>
  <c r="H664" i="1" s="1"/>
  <c r="F112" i="1"/>
  <c r="C62" i="2"/>
  <c r="C63" i="2" s="1"/>
  <c r="C104" i="2" s="1"/>
  <c r="J617" i="1"/>
  <c r="E128" i="2"/>
  <c r="G81" i="2"/>
  <c r="C17" i="13"/>
  <c r="D15" i="13"/>
  <c r="C15" i="13" s="1"/>
  <c r="D6" i="13"/>
  <c r="C6" i="13" s="1"/>
  <c r="E13" i="13"/>
  <c r="C13" i="13" s="1"/>
  <c r="K552" i="1"/>
  <c r="G624" i="1"/>
  <c r="J624" i="1" s="1"/>
  <c r="K500" i="1"/>
  <c r="I460" i="1"/>
  <c r="I452" i="1"/>
  <c r="I446" i="1"/>
  <c r="G642" i="1" s="1"/>
  <c r="H338" i="1"/>
  <c r="H352" i="1" s="1"/>
  <c r="D145" i="2"/>
  <c r="C128" i="2"/>
  <c r="D19" i="13"/>
  <c r="C19" i="13" s="1"/>
  <c r="D14" i="13"/>
  <c r="C14" i="13" s="1"/>
  <c r="A13" i="12"/>
  <c r="D29" i="13"/>
  <c r="C29" i="13" s="1"/>
  <c r="D12" i="13"/>
  <c r="C12" i="13" s="1"/>
  <c r="D5" i="13"/>
  <c r="C5" i="13" s="1"/>
  <c r="G257" i="1"/>
  <c r="G271" i="1" s="1"/>
  <c r="C16" i="10"/>
  <c r="C10" i="10"/>
  <c r="C109" i="2"/>
  <c r="C115" i="2" s="1"/>
  <c r="L229" i="1"/>
  <c r="G24" i="14" s="1"/>
  <c r="G4" i="14"/>
  <c r="H4" i="14" s="1"/>
  <c r="I4" i="14" s="1"/>
  <c r="C7" i="13"/>
  <c r="F660" i="1"/>
  <c r="F664" i="1" s="1"/>
  <c r="C16" i="13"/>
  <c r="L337" i="1"/>
  <c r="F62" i="2"/>
  <c r="F63" i="2" s="1"/>
  <c r="F104" i="2" s="1"/>
  <c r="C23" i="10"/>
  <c r="G163" i="2"/>
  <c r="G162" i="2"/>
  <c r="G160" i="2"/>
  <c r="G159" i="2"/>
  <c r="G158" i="2"/>
  <c r="G103" i="2"/>
  <c r="F103" i="2"/>
  <c r="C103" i="2"/>
  <c r="F91" i="2"/>
  <c r="E50" i="2"/>
  <c r="E51" i="2" s="1"/>
  <c r="C50" i="2"/>
  <c r="F31" i="2"/>
  <c r="C31" i="2"/>
  <c r="E18" i="2"/>
  <c r="E144" i="2"/>
  <c r="E145" i="2" s="1"/>
  <c r="F50" i="2"/>
  <c r="F51" i="2" s="1"/>
  <c r="L338" i="1"/>
  <c r="L352" i="1" s="1"/>
  <c r="G633" i="1" s="1"/>
  <c r="J633" i="1" s="1"/>
  <c r="C24" i="10"/>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C36" i="10"/>
  <c r="G63" i="2"/>
  <c r="G104" i="2" s="1"/>
  <c r="J618" i="1"/>
  <c r="G42" i="2"/>
  <c r="G50" i="2" s="1"/>
  <c r="G51" i="2" s="1"/>
  <c r="J51" i="1"/>
  <c r="G16" i="2"/>
  <c r="G18" i="2" s="1"/>
  <c r="J19" i="1"/>
  <c r="G621" i="1" s="1"/>
  <c r="F545" i="1"/>
  <c r="H434" i="1"/>
  <c r="J620" i="1"/>
  <c r="J619" i="1"/>
  <c r="D103" i="2"/>
  <c r="D104" i="2" s="1"/>
  <c r="I140" i="1"/>
  <c r="I193" i="1" s="1"/>
  <c r="G630" i="1" s="1"/>
  <c r="J630" i="1" s="1"/>
  <c r="A22" i="12"/>
  <c r="H648" i="1"/>
  <c r="J648" i="1" s="1"/>
  <c r="J652" i="1"/>
  <c r="G571" i="1"/>
  <c r="I434" i="1"/>
  <c r="G434" i="1"/>
  <c r="E104" i="2"/>
  <c r="I663" i="1"/>
  <c r="C27" i="10"/>
  <c r="G635" i="1"/>
  <c r="J635" i="1" s="1"/>
  <c r="H646" i="1" l="1"/>
  <c r="G36" i="14"/>
  <c r="H36" i="14" s="1"/>
  <c r="I36" i="14" s="1"/>
  <c r="H667" i="1"/>
  <c r="H672" i="1"/>
  <c r="C6" i="10" s="1"/>
  <c r="L257" i="1"/>
  <c r="L271" i="1" s="1"/>
  <c r="G632" i="1" s="1"/>
  <c r="J632" i="1" s="1"/>
  <c r="C145" i="2"/>
  <c r="F193" i="1"/>
  <c r="G627" i="1" s="1"/>
  <c r="J627" i="1" s="1"/>
  <c r="D31" i="13"/>
  <c r="I461" i="1"/>
  <c r="H642" i="1" s="1"/>
  <c r="J642" i="1" s="1"/>
  <c r="G660" i="1"/>
  <c r="G664" i="1" s="1"/>
  <c r="G667" i="1" s="1"/>
  <c r="E33" i="13"/>
  <c r="D35" i="13" s="1"/>
  <c r="C28" i="10"/>
  <c r="D23" i="10" s="1"/>
  <c r="H24" i="14"/>
  <c r="I24" i="14" s="1"/>
  <c r="F672" i="1"/>
  <c r="C4" i="10" s="1"/>
  <c r="F667" i="1"/>
  <c r="C31" i="13"/>
  <c r="C51" i="2"/>
  <c r="G631" i="1"/>
  <c r="J631" i="1" s="1"/>
  <c r="J646" i="1"/>
  <c r="G193" i="1"/>
  <c r="G628" i="1" s="1"/>
  <c r="J628" i="1" s="1"/>
  <c r="G626" i="1"/>
  <c r="J626" i="1" s="1"/>
  <c r="J52" i="1"/>
  <c r="H621" i="1" s="1"/>
  <c r="J621" i="1" s="1"/>
  <c r="C38" i="10"/>
  <c r="I660" i="1" l="1"/>
  <c r="I664" i="1" s="1"/>
  <c r="I672" i="1" s="1"/>
  <c r="C7" i="10" s="1"/>
  <c r="G672" i="1"/>
  <c r="C5" i="10" s="1"/>
  <c r="D25" i="10"/>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<sst xmlns="http://schemas.openxmlformats.org/spreadsheetml/2006/main" count="5504" uniqueCount="1610">
  <si>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</si>
  <si>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</si>
  <si>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</si>
  <si>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</si>
  <si>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</si>
  <si>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</si>
  <si>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</si>
  <si>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</si>
  <si>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</si>
  <si>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</si>
  <si>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</si>
  <si>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</si>
  <si>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</si>
  <si>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</si>
  <si>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</si>
  <si>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</si>
  <si>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</si>
  <si>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</si>
  <si>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</si>
  <si>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</si>
  <si>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</si>
  <si>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</si>
  <si>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</si>
  <si>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</si>
  <si>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</si>
  <si>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</si>
  <si>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</si>
  <si>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</si>
  <si>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</si>
  <si>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</si>
  <si>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</si>
  <si>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</si>
  <si>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</si>
  <si>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</si>
  <si>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</si>
  <si>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</si>
  <si>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</si>
  <si>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</si>
  <si>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</si>
  <si>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</si>
  <si>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</si>
  <si>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</si>
  <si>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</si>
  <si>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</si>
  <si>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</si>
  <si>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</si>
  <si>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</si>
  <si>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</si>
  <si>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</si>
  <si>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</si>
  <si>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</si>
  <si>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</si>
  <si>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</si>
  <si>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</si>
  <si>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</si>
  <si>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</si>
  <si>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</si>
  <si>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</si>
  <si>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</si>
  <si>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</si>
  <si>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</si>
  <si>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</si>
  <si>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</si>
  <si>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</si>
  <si>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</si>
  <si>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</si>
  <si>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</si>
  <si>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</si>
  <si>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</si>
  <si>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</si>
  <si>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</si>
  <si>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</si>
  <si>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</si>
  <si>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</si>
  <si>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</si>
  <si>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</si>
  <si>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</si>
  <si>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</si>
  <si>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</si>
  <si>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</si>
  <si>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</si>
  <si>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</si>
  <si>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</si>
  <si>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</si>
  <si>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</si>
  <si>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</si>
  <si>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</si>
  <si>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</si>
  <si>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</si>
  <si>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</si>
  <si>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</si>
  <si>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</si>
  <si>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</si>
  <si>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</si>
  <si>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</si>
  <si>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</si>
  <si>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</si>
  <si>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</si>
  <si>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</si>
  <si>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</si>
  <si>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</si>
  <si>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</si>
  <si>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</si>
  <si>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</si>
  <si>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</si>
  <si>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</si>
  <si>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</si>
  <si>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</si>
  <si>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</si>
  <si>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</si>
  <si>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</si>
  <si>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</si>
  <si>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</si>
  <si>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</si>
  <si>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</si>
  <si>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</si>
  <si>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</si>
  <si>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</si>
  <si>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</si>
  <si>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</si>
  <si>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</si>
  <si>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</si>
  <si>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</si>
  <si>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</si>
  <si>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</si>
  <si>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</si>
  <si>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</si>
  <si>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</si>
  <si>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</si>
  <si>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</si>
  <si>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</si>
  <si>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</si>
  <si>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</si>
  <si>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</si>
  <si>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</si>
  <si>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</si>
  <si>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</si>
  <si>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</si>
  <si>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</si>
  <si>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</si>
  <si>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</si>
  <si>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</si>
  <si>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</si>
  <si>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</si>
  <si>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</si>
  <si>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</si>
  <si>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</si>
  <si>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</si>
  <si>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</si>
  <si>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</si>
  <si>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</si>
  <si>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</si>
  <si>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</si>
  <si>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</si>
  <si>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</si>
  <si>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</si>
  <si>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</si>
  <si>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</si>
  <si>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</si>
  <si>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</si>
  <si>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</si>
  <si>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</si>
  <si>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</si>
  <si>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</si>
  <si>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</si>
  <si>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</si>
  <si>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</si>
  <si>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</si>
  <si>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</si>
  <si>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</si>
  <si>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</si>
  <si>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</si>
  <si>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</si>
  <si>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</si>
  <si>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</si>
  <si>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</si>
  <si>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</si>
  <si>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</si>
  <si>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</si>
  <si>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</si>
  <si>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</si>
  <si>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</si>
  <si>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</si>
  <si>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</si>
  <si>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</si>
  <si>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</si>
  <si>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</si>
  <si>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</si>
  <si>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</si>
  <si>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</si>
  <si>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</si>
  <si>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</si>
  <si>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</si>
  <si>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</si>
  <si>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</si>
  <si>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</si>
  <si>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</si>
  <si>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</si>
  <si>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</si>
  <si>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</si>
  <si>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</si>
  <si>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</si>
  <si>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</si>
  <si>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</si>
  <si>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</si>
  <si>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</si>
  <si>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</si>
  <si>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</si>
  <si>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</si>
  <si>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</si>
  <si>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</si>
  <si>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</si>
  <si>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</si>
  <si>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</si>
  <si>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</si>
  <si>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</si>
  <si>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</si>
  <si>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</si>
  <si>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</si>
  <si>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</si>
  <si>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</si>
  <si>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</si>
  <si>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</si>
  <si>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</si>
  <si>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</si>
  <si>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</si>
  <si>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</si>
  <si>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</si>
  <si>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</si>
  <si>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</si>
  <si>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</si>
  <si>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</si>
  <si>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</si>
  <si>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</si>
  <si>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</si>
  <si>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</si>
  <si>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</si>
  <si>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</si>
  <si>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</si>
  <si>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</si>
  <si>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</si>
  <si>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</si>
  <si>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</si>
  <si>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</si>
  <si>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</si>
  <si>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</si>
  <si>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</si>
  <si>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</si>
  <si>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</si>
  <si>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</si>
  <si>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</si>
  <si>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</si>
  <si>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</si>
  <si>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</si>
  <si>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</si>
  <si>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</si>
  <si>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</si>
  <si>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</si>
  <si>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</si>
  <si>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</si>
  <si>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</si>
  <si>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</si>
  <si>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</si>
  <si>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</si>
  <si>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</si>
  <si>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</si>
  <si>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</si>
  <si>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</si>
  <si>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</si>
  <si>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</si>
  <si>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</si>
  <si>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</si>
  <si>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</si>
  <si>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</si>
  <si>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</si>
  <si>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</si>
  <si>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</si>
  <si>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</si>
  <si>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</si>
  <si>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</si>
  <si>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</si>
  <si>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</si>
  <si>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</si>
  <si>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</si>
  <si>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</si>
  <si>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</si>
  <si>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</si>
  <si>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</si>
  <si>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</si>
  <si>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</si>
  <si>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</si>
  <si>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</si>
  <si>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</si>
  <si>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</si>
  <si>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</si>
  <si>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</si>
  <si>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</si>
  <si>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</si>
  <si>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</si>
  <si>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</si>
  <si>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</si>
  <si>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</si>
  <si>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</si>
  <si>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</si>
  <si>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</si>
  <si>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</si>
  <si>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</si>
  <si>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</si>
  <si>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</si>
  <si>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</si>
  <si>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</si>
  <si>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</si>
  <si>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</si>
  <si>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</si>
  <si>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</si>
  <si>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</si>
  <si>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</si>
  <si>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</si>
  <si>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</si>
  <si>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</si>
  <si>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</si>
  <si>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</si>
  <si>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</si>
  <si>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</si>
  <si>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</si>
  <si>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</si>
  <si>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</si>
  <si>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</si>
  <si>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</si>
  <si>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</si>
  <si>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</si>
  <si>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</si>
  <si>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</si>
  <si>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</si>
  <si>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</si>
  <si>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</si>
  <si>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</si>
  <si>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</si>
  <si>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</si>
  <si>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</si>
  <si>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</si>
  <si>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</si>
  <si>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</si>
  <si>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</si>
  <si>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</si>
  <si>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</si>
  <si>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</si>
  <si>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</si>
  <si>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</si>
  <si>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</si>
  <si>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</si>
  <si>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</si>
  <si>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</si>
  <si>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</si>
  <si>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</si>
  <si>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</si>
  <si>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</si>
  <si>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</si>
  <si>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</si>
  <si>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</si>
  <si>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</si>
  <si>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</si>
  <si>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</si>
  <si>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</si>
  <si>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</si>
  <si>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</si>
  <si>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</si>
  <si>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</si>
  <si>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</si>
  <si>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</si>
  <si>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</si>
  <si>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</si>
  <si>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</si>
  <si>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</si>
  <si>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</si>
  <si>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</si>
  <si>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</si>
  <si>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</si>
  <si>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</si>
  <si>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</si>
  <si>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</si>
  <si>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</si>
  <si>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</si>
  <si>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</si>
  <si>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</si>
  <si>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</si>
  <si>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</si>
  <si>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</si>
  <si>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</si>
  <si>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</si>
  <si>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</si>
  <si>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</si>
  <si>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</si>
  <si>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</si>
  <si>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</si>
  <si>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</si>
  <si>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</si>
  <si>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</si>
  <si>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</si>
  <si>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</si>
  <si>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</si>
  <si>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</si>
  <si>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</si>
  <si>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</si>
  <si>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</si>
  <si>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</si>
  <si>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</si>
  <si>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</si>
  <si>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</si>
  <si>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</si>
  <si>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</si>
  <si>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</si>
  <si>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</si>
  <si>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</si>
  <si>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</si>
  <si>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</si>
  <si>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</si>
  <si>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</si>
  <si>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</si>
  <si>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</si>
  <si>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</si>
  <si>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</si>
  <si>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</si>
  <si>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</si>
  <si>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</si>
  <si>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</si>
  <si>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</si>
  <si>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</si>
  <si>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</si>
  <si>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</si>
  <si>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</si>
  <si>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</si>
  <si>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</si>
  <si>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</si>
  <si>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</si>
  <si>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</si>
  <si>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</si>
  <si>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</si>
  <si>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</si>
  <si>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</si>
  <si>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</si>
  <si>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</si>
  <si>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</si>
  <si>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</si>
  <si>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</si>
  <si>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</si>
  <si>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</si>
  <si>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</si>
  <si>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</si>
  <si>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</si>
  <si>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</si>
  <si>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</si>
  <si>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</si>
  <si>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</si>
  <si>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</si>
  <si>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</si>
  <si>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</si>
  <si>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</si>
  <si>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</si>
  <si>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</si>
  <si>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</si>
  <si>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</si>
  <si>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</si>
  <si>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</si>
  <si>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</si>
  <si>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</si>
  <si>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</si>
  <si>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</si>
  <si>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</si>
  <si>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</si>
  <si>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</si>
  <si>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</si>
  <si>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</si>
  <si>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</si>
  <si>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</si>
  <si>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</si>
  <si>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</si>
  <si>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</si>
  <si>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</si>
  <si>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</si>
  <si>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</si>
  <si>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</si>
  <si>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</si>
  <si>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</si>
  <si>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</si>
  <si>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</si>
  <si>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</si>
  <si>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</si>
  <si>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</si>
  <si>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</si>
  <si>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</si>
  <si>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</si>
  <si>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</si>
  <si>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</si>
  <si>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</si>
  <si>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</si>
  <si>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</si>
  <si>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</si>
  <si>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</si>
  <si>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</si>
  <si>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</si>
  <si>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</si>
  <si>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</si>
  <si>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</si>
  <si>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</si>
  <si>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</si>
  <si>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</si>
  <si>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</si>
  <si>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</si>
  <si>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</si>
  <si>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</si>
  <si>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</si>
  <si>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</si>
  <si>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</si>
  <si>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</si>
  <si>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</si>
  <si>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</si>
  <si>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</si>
  <si>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</si>
  <si>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</si>
  <si>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</si>
  <si>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</si>
  <si>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</si>
  <si>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</si>
  <si>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</si>
  <si>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</si>
  <si>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</si>
  <si>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</si>
  <si>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</si>
  <si>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</si>
  <si>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</si>
  <si>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</si>
  <si>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</si>
  <si>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</si>
  <si>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</si>
  <si>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</si>
  <si>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</si>
  <si>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</si>
  <si>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</si>
  <si>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</si>
  <si>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</si>
  <si>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</si>
  <si>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</si>
  <si>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</si>
  <si>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</si>
  <si>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</si>
  <si>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</si>
  <si>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</si>
  <si>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</si>
  <si>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</si>
  <si>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</si>
  <si>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</si>
  <si>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</si>
  <si>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</si>
  <si>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</si>
  <si>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</si>
  <si>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</si>
  <si>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</si>
  <si>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</si>
  <si>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</si>
  <si>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</si>
  <si>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</si>
  <si>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</si>
  <si>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</si>
  <si>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</si>
  <si>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</si>
  <si>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</si>
  <si>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</si>
  <si>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</si>
  <si>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</si>
  <si>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</si>
  <si>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</si>
  <si>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</si>
  <si>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</si>
  <si>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</si>
  <si>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</si>
  <si>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</si>
  <si>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</si>
  <si>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</si>
  <si>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</si>
  <si>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</si>
  <si>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</si>
  <si>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</si>
  <si>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</si>
  <si>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</si>
  <si>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</si>
  <si>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</si>
  <si>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</si>
  <si>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</si>
  <si>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</si>
  <si>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</si>
  <si>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</si>
  <si>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</si>
  <si>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</si>
  <si>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</si>
  <si>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</si>
  <si>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</si>
  <si>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</si>
  <si>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</si>
  <si>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</si>
  <si>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</si>
  <si>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</si>
  <si>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</si>
  <si>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</si>
  <si>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</si>
  <si>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</si>
  <si>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</si>
  <si>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</si>
  <si>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</si>
  <si>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</si>
  <si>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</si>
  <si>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</si>
  <si>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</si>
  <si>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</si>
  <si>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</si>
  <si>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</si>
  <si>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</si>
  <si>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</si>
  <si>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</si>
  <si>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</si>
  <si>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</si>
  <si>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</si>
  <si>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</si>
  <si>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</si>
  <si>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</si>
  <si>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</si>
  <si>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</si>
  <si>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</si>
  <si>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</si>
  <si>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</si>
  <si>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</si>
  <si>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</si>
  <si>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</si>
  <si>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</si>
  <si>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</si>
  <si>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</si>
  <si>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</si>
  <si>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</si>
  <si>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</si>
  <si>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</si>
  <si>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</si>
  <si>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</si>
  <si>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</si>
  <si>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</si>
  <si>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</si>
  <si>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</si>
  <si>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</si>
  <si>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</si>
  <si>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</si>
  <si>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</si>
  <si>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</si>
  <si>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</si>
  <si>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</si>
  <si>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</si>
  <si>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</si>
  <si>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</si>
  <si>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</si>
  <si>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</si>
  <si>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</si>
  <si>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</si>
  <si>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</si>
  <si>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</si>
  <si>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</si>
  <si>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</si>
  <si>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</si>
  <si>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</si>
  <si>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</si>
  <si>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</si>
  <si>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</si>
  <si>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</si>
  <si>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</si>
  <si>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</si>
  <si>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</si>
  <si>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</si>
  <si>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</si>
  <si>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</si>
  <si>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</si>
  <si>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</si>
  <si>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</si>
  <si>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</si>
  <si>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</si>
  <si>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</si>
  <si>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</si>
  <si>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</si>
  <si>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</si>
  <si>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</si>
  <si>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</si>
  <si>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</si>
  <si>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</si>
  <si>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</si>
  <si>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</si>
  <si>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</si>
  <si>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</si>
  <si>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</si>
  <si>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</si>
  <si>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</si>
  <si>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</si>
  <si>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</si>
  <si>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</si>
  <si>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</si>
  <si>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</si>
  <si>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</si>
  <si>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</si>
  <si>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</si>
  <si>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</si>
  <si>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</si>
  <si>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</si>
  <si>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</si>
  <si>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</si>
  <si>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</si>
  <si>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</si>
  <si>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</si>
  <si>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</si>
  <si>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</si>
  <si>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</si>
  <si>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</si>
  <si>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</si>
  <si>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</si>
  <si>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</si>
  <si>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</si>
  <si>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</si>
  <si>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</si>
  <si>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</si>
  <si>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</si>
  <si>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</si>
  <si>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</si>
  <si>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</si>
  <si>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</si>
  <si>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</si>
  <si>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</si>
  <si>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</si>
  <si>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</si>
  <si>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</si>
  <si>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</si>
  <si>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</si>
  <si>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</si>
  <si>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</si>
  <si>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</si>
  <si>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</si>
  <si>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</si>
  <si>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</si>
  <si>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</si>
  <si>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</si>
  <si>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</si>
  <si>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</si>
  <si>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</si>
  <si>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</si>
  <si>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</si>
  <si>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</si>
  <si>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</si>
  <si>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</si>
  <si>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</si>
  <si>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</si>
  <si>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</si>
  <si>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</si>
  <si>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</si>
  <si>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</si>
  <si>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</si>
  <si>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</si>
  <si>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</si>
  <si>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</si>
  <si>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</si>
  <si>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</si>
  <si>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</si>
  <si>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</si>
  <si>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</si>
  <si>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</si>
  <si>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</si>
  <si>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</si>
  <si>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</si>
  <si>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</si>
  <si>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</si>
  <si>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</si>
  <si>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</si>
  <si>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</si>
  <si>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</si>
  <si>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</si>
  <si>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</si>
  <si>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</si>
  <si>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</si>
  <si>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</si>
  <si>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</si>
  <si>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</si>
  <si>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</si>
  <si>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</si>
  <si>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</si>
  <si>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</si>
  <si>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</si>
  <si>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</si>
  <si>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</si>
  <si>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</si>
  <si>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</si>
  <si>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</si>
  <si>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</si>
  <si>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</si>
  <si>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</si>
  <si>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</si>
  <si>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</si>
  <si>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</si>
  <si>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</si>
  <si>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</si>
  <si>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</si>
  <si>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</si>
  <si>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</si>
  <si>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</si>
  <si>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</si>
  <si>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</si>
  <si>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</si>
  <si>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</si>
  <si>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</si>
  <si>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</si>
  <si>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</si>
  <si>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</si>
  <si>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</si>
  <si>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</si>
  <si>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</si>
  <si>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</si>
  <si>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</si>
  <si>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</si>
  <si>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</si>
  <si>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</si>
  <si>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</si>
  <si>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</si>
  <si>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</si>
  <si>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</si>
  <si>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</si>
  <si>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</si>
  <si>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</si>
  <si>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</si>
  <si>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</si>
  <si>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</si>
  <si>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</si>
  <si>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</si>
  <si>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</si>
  <si>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</si>
  <si>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</si>
  <si>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</si>
  <si>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</si>
  <si>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</si>
  <si>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</si>
  <si>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</si>
  <si>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</si>
  <si>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</si>
  <si>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</si>
  <si>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</si>
  <si>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</si>
  <si>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</si>
  <si>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</si>
  <si>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</si>
  <si>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</si>
  <si>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</si>
  <si>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</si>
  <si>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</si>
  <si>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</si>
  <si>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</si>
  <si>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</si>
  <si>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</si>
  <si>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</si>
  <si>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</si>
  <si>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</si>
  <si>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</si>
  <si>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</si>
  <si>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</si>
  <si>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</si>
  <si>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</si>
  <si>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</si>
  <si>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</si>
  <si>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</si>
  <si>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</si>
  <si>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</si>
  <si>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</si>
  <si>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</si>
  <si>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</si>
  <si>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</si>
  <si>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</si>
  <si>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</si>
  <si>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</si>
  <si>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</si>
  <si>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</si>
  <si>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</si>
  <si>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</si>
  <si>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</si>
  <si>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</si>
  <si>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</si>
  <si>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</si>
  <si>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</si>
  <si>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</si>
  <si>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</si>
  <si>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</si>
  <si>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</si>
  <si>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</si>
  <si>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</si>
  <si>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</si>
  <si>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</si>
  <si>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</si>
  <si>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</si>
  <si>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</si>
  <si>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</si>
  <si>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</si>
  <si>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</si>
  <si>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</si>
  <si>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</si>
  <si>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</si>
  <si>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</si>
  <si>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</si>
  <si>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</si>
  <si>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</si>
  <si>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</si>
  <si>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</si>
  <si>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</si>
  <si>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</si>
  <si>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</si>
  <si>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</si>
  <si>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</si>
  <si>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</si>
  <si>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</si>
  <si>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</si>
  <si>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</si>
  <si>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</si>
  <si>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</si>
  <si>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</si>
  <si>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</si>
  <si>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</si>
  <si>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</si>
  <si>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</si>
  <si>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</si>
  <si>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</si>
  <si>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</si>
  <si>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</si>
  <si>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</si>
  <si>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</si>
  <si>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</si>
  <si>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</si>
  <si>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</si>
  <si>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</si>
  <si>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</si>
  <si>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</si>
  <si>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</si>
  <si>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</si>
  <si>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</si>
  <si>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</si>
  <si>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</si>
  <si>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</si>
  <si>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</si>
  <si>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</si>
  <si>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</si>
  <si>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</si>
  <si>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</si>
  <si>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</si>
  <si>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</si>
  <si>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</si>
  <si>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</si>
  <si>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</si>
  <si>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</si>
  <si>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</si>
  <si>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</si>
  <si>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</si>
  <si>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</si>
  <si>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</si>
  <si>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</si>
  <si>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</si>
  <si>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</si>
  <si>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</si>
  <si>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</si>
  <si>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</si>
  <si>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</si>
  <si>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</si>
  <si>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</si>
  <si>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</si>
  <si>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</si>
  <si>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</si>
  <si>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</si>
  <si>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</si>
  <si>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</si>
  <si>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</si>
  <si>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</si>
  <si>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</si>
  <si>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</si>
  <si>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</si>
  <si>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</si>
  <si>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</si>
  <si>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</si>
  <si>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</si>
  <si>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</si>
  <si>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</si>
  <si>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</si>
  <si>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</si>
  <si>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</si>
  <si>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</si>
  <si>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</si>
  <si>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</si>
  <si>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</si>
  <si>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</si>
  <si>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</si>
  <si>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</si>
  <si>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</si>
  <si>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</si>
  <si>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</si>
  <si>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</si>
  <si>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</si>
  <si>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</si>
  <si>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</si>
  <si>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</si>
  <si>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</si>
  <si>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</si>
  <si>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</si>
  <si>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</si>
  <si>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</si>
  <si>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</si>
  <si>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</si>
  <si>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</si>
  <si>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</si>
  <si>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</si>
  <si>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</si>
  <si>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</si>
  <si>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</si>
  <si>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</si>
  <si>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</si>
  <si>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</si>
  <si>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</si>
  <si>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</si>
  <si>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</si>
  <si>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</si>
  <si>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</si>
  <si>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</si>
  <si>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</si>
  <si>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</si>
  <si>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</si>
  <si>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</si>
  <si>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</si>
  <si>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</si>
  <si>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</si>
  <si>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</si>
  <si>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</si>
  <si>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</si>
  <si>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</si>
  <si>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</si>
  <si>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</si>
  <si>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</si>
  <si>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</si>
  <si>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</si>
  <si>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</si>
  <si>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</si>
  <si>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</si>
  <si>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</si>
  <si>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</si>
  <si>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</si>
  <si>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</si>
  <si>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</si>
  <si>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</si>
  <si>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</si>
  <si>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</si>
  <si>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</si>
  <si>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</si>
  <si>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</si>
  <si>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</si>
  <si>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</si>
  <si>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</si>
  <si>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</si>
  <si>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</si>
  <si>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</si>
  <si>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</si>
  <si>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</si>
  <si>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</si>
  <si>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</si>
  <si>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</si>
  <si>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</si>
  <si>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</si>
  <si>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</si>
  <si>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</si>
  <si>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</si>
  <si>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</si>
  <si>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</si>
  <si>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</si>
  <si>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</si>
  <si>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</si>
  <si>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</si>
  <si>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</si>
  <si>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</si>
  <si>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</si>
  <si>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</si>
  <si>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</si>
  <si>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</si>
  <si>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</si>
  <si>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</si>
  <si>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</si>
  <si>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</si>
  <si>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</si>
  <si>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</si>
  <si>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</si>
  <si>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</si>
  <si>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</si>
  <si>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</si>
  <si>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</si>
  <si>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</si>
  <si>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</si>
  <si>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</si>
  <si>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</si>
  <si>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</si>
  <si>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</si>
  <si>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</si>
  <si>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</si>
  <si>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</si>
  <si>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</si>
  <si>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</si>
  <si>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</si>
  <si>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</si>
  <si>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</si>
  <si>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</si>
  <si>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</si>
  <si>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</si>
  <si>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</si>
  <si>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</si>
  <si>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</si>
  <si>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</si>
  <si>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</si>
  <si>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</si>
  <si>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</si>
  <si>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</si>
  <si>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</si>
  <si>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</si>
  <si>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</si>
  <si>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</si>
  <si>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</si>
  <si>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</si>
  <si>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</si>
  <si>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</si>
  <si>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</si>
  <si>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</si>
  <si>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</si>
  <si>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</si>
  <si>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</si>
  <si>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</si>
  <si>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</si>
  <si>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</si>
  <si>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</si>
  <si>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</si>
  <si>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</si>
  <si>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</si>
  <si>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</si>
  <si>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</si>
  <si>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</si>
  <si>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</si>
  <si>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</si>
  <si>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</si>
  <si>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</si>
  <si>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</si>
  <si>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</si>
  <si>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</si>
  <si>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</si>
  <si>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</si>
  <si>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</si>
  <si>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</si>
  <si>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</si>
  <si>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</si>
  <si>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</si>
  <si>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</si>
  <si>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</si>
  <si>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</si>
  <si>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</si>
  <si>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</si>
  <si>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</si>
  <si>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</si>
  <si>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</si>
  <si>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</si>
  <si>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</si>
  <si>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</si>
  <si>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</si>
  <si>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</si>
  <si>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</si>
  <si>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</si>
  <si>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</si>
  <si>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</si>
  <si>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</si>
  <si>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</si>
  <si>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</si>
  <si>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</si>
  <si>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</si>
  <si>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</si>
  <si>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</si>
  <si>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</si>
  <si>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</si>
  <si>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</si>
  <si>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</si>
  <si>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</si>
  <si>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</si>
  <si>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</si>
  <si>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</si>
  <si>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</si>
  <si>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</si>
  <si>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</si>
  <si>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</si>
  <si>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</si>
  <si>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</si>
  <si>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</si>
  <si>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</si>
  <si>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</si>
  <si>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</si>
  <si>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</si>
  <si>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</si>
  <si>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</si>
  <si>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</si>
  <si>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</si>
  <si>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</si>
  <si>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</si>
  <si>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</si>
  <si>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</si>
  <si>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</si>
  <si>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</si>
  <si>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</si>
  <si>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</si>
  <si>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</si>
  <si>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</si>
  <si>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</si>
  <si>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</si>
  <si>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</si>
  <si>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</si>
  <si>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</si>
  <si>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</si>
  <si>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</si>
  <si>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</si>
  <si>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</si>
  <si>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</si>
  <si>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</si>
  <si>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</si>
  <si>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</si>
  <si>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</si>
  <si>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</si>
  <si>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</si>
  <si>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</si>
  <si>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</si>
  <si>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</si>
  <si>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</si>
  <si>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</si>
  <si>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</si>
  <si>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</si>
  <si>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</si>
  <si>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</si>
  <si>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</si>
  <si>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</si>
  <si>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</si>
  <si>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</si>
  <si>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</si>
  <si>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</si>
  <si>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</si>
  <si>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</si>
  <si>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</si>
  <si>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</si>
  <si>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</si>
  <si>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</si>
  <si>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</si>
  <si>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</si>
  <si>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</si>
  <si>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</si>
  <si>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</si>
  <si>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</si>
  <si>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</si>
  <si>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</si>
  <si>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</si>
  <si>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</si>
  <si>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</si>
  <si>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</si>
  <si>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</si>
  <si>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</si>
  <si>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</si>
  <si>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</si>
  <si>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</si>
  <si>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</si>
  <si>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</si>
  <si>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</si>
  <si>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</si>
  <si>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</si>
  <si>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</si>
  <si>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</si>
  <si>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</si>
  <si>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</si>
  <si>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</si>
  <si>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</si>
  <si>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</si>
  <si>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</si>
  <si>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</si>
  <si>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</si>
  <si>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</si>
  <si>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</si>
  <si>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</si>
  <si>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</si>
  <si>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</si>
  <si>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</si>
  <si>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</si>
  <si>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</si>
  <si>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</si>
  <si>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</si>
  <si>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</si>
  <si>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</si>
  <si>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</si>
  <si>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</si>
  <si>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</si>
  <si>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</si>
  <si>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</si>
  <si>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</si>
  <si>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</si>
  <si>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</si>
  <si>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</si>
  <si>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</si>
  <si>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</si>
  <si>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</si>
  <si>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</si>
  <si>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</si>
  <si>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</si>
  <si>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</si>
  <si>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</si>
  <si>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</si>
  <si>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</si>
  <si>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</si>
  <si>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</si>
  <si>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</si>
  <si>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</si>
  <si>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</si>
  <si>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</si>
  <si>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</si>
  <si>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</si>
  <si>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</si>
  <si>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</si>
  <si>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</si>
  <si>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</si>
  <si>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</si>
  <si>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</si>
  <si>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</si>
  <si>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</si>
  <si>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</si>
  <si>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</si>
  <si>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</si>
  <si>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</si>
  <si>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</si>
  <si>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</si>
  <si>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</si>
  <si>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</si>
  <si>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</si>
  <si>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</si>
  <si>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</si>
  <si>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</si>
  <si>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</si>
  <si>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</si>
  <si>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</si>
  <si>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</si>
  <si>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</si>
  <si>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</si>
  <si>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</si>
  <si>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</si>
  <si>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</si>
  <si>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</si>
  <si>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</si>
  <si>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</si>
  <si>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</si>
  <si>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</si>
  <si>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</si>
  <si>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</si>
  <si>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</si>
  <si>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</si>
  <si>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</si>
  <si>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</si>
  <si>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</si>
  <si>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</si>
  <si>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</si>
  <si>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</si>
  <si>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</si>
  <si>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</si>
  <si>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</si>
  <si>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</si>
  <si>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</si>
  <si>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</si>
  <si>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</si>
  <si>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</si>
  <si>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</si>
  <si>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</si>
  <si>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</si>
  <si>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</si>
  <si>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</si>
  <si>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</si>
  <si>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</si>
  <si>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</si>
  <si>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</si>
  <si>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</si>
  <si>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</si>
  <si>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</si>
  <si>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</si>
  <si>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</si>
  <si>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</si>
  <si>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</si>
  <si>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</si>
  <si>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</si>
  <si>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</si>
  <si>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</si>
  <si>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</si>
  <si>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</si>
  <si>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</si>
  <si>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</si>
  <si>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</si>
  <si>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</si>
  <si>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</si>
  <si>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</si>
  <si>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</si>
  <si>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</si>
  <si>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</si>
  <si>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</si>
  <si>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</si>
  <si>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</si>
  <si>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</si>
  <si>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</si>
  <si>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</si>
  <si>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</si>
  <si>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</si>
  <si>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</si>
  <si>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</si>
  <si>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</si>
  <si>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</si>
  <si>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</si>
  <si>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</si>
  <si>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</si>
  <si>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</si>
  <si>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</si>
  <si>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</si>
  <si>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</si>
  <si>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</si>
  <si>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</si>
  <si>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</si>
  <si>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</si>
  <si>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</si>
  <si>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</si>
  <si>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</si>
  <si>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</si>
  <si>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</si>
  <si>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</si>
  <si>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</si>
  <si>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</si>
  <si>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</si>
  <si>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</si>
  <si>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</si>
  <si>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</si>
  <si>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</si>
  <si>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</si>
  <si>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</si>
  <si>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</si>
  <si>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</si>
  <si>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</si>
  <si>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</si>
  <si>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</si>
  <si>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</si>
  <si>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</si>
  <si>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</si>
  <si>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</si>
  <si>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</si>
  <si>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</si>
  <si>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</si>
  <si>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</si>
  <si>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</si>
  <si>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</si>
  <si>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</si>
  <si>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</si>
  <si>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</si>
  <si>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</si>
  <si>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</si>
  <si>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</si>
  <si>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</si>
  <si>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</si>
  <si>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</si>
  <si>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</si>
  <si>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</si>
  <si>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</si>
  <si>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</si>
  <si>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</si>
  <si>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</si>
  <si>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</si>
  <si>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</si>
  <si>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</si>
  <si>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</si>
  <si>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</si>
  <si>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</si>
  <si>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</si>
  <si>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</si>
  <si>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</si>
  <si>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</si>
  <si>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</si>
  <si>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</si>
  <si>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</si>
  <si>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</si>
  <si>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</si>
  <si>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</si>
  <si>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</si>
  <si>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</si>
  <si>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</si>
  <si>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</si>
  <si>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</si>
  <si>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</si>
  <si>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</si>
  <si>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</si>
  <si>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</si>
  <si>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</si>
  <si>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</si>
  <si>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</si>
  <si>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</si>
  <si>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</si>
  <si>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</si>
  <si>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</si>
  <si>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</si>
  <si>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</si>
  <si>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</si>
  <si>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</si>
  <si>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</si>
  <si>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</si>
  <si>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</si>
  <si>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</si>
  <si>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</si>
  <si>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</si>
  <si>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</si>
  <si>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</si>
  <si>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</si>
  <si>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</si>
  <si>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</si>
  <si>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</si>
  <si>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</si>
  <si>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</si>
  <si>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</si>
  <si>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</si>
  <si>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</si>
  <si>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</si>
  <si>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</si>
  <si>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</si>
  <si>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</si>
  <si>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</si>
  <si>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</si>
  <si>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</si>
  <si>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</si>
  <si>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</si>
  <si>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</si>
  <si>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</si>
  <si>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</si>
  <si>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</si>
  <si>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</si>
  <si>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</si>
  <si>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</si>
  <si>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</si>
  <si>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</si>
  <si>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</si>
  <si>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</si>
  <si>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</si>
  <si>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</si>
  <si>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</si>
  <si>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</si>
  <si>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</si>
  <si>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</si>
  <si>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</si>
  <si>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</si>
  <si>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</si>
  <si>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</si>
  <si>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</si>
  <si>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</si>
  <si>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</si>
  <si>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</si>
  <si>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</si>
  <si>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</si>
  <si>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</si>
  <si>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</si>
  <si>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</si>
  <si>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</si>
  <si>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</si>
  <si>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</si>
  <si>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</si>
  <si>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</si>
  <si>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</si>
  <si>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</si>
  <si>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</si>
  <si>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</si>
  <si>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</si>
  <si>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</si>
  <si>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</si>
  <si>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</si>
  <si>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</si>
  <si>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</si>
  <si>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</si>
  <si>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</si>
  <si>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</si>
  <si>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</si>
  <si>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</si>
  <si>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</si>
  <si>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</si>
  <si>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</si>
  <si>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</si>
  <si>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</si>
  <si>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</si>
  <si>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</si>
  <si>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</si>
  <si>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</si>
  <si>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</si>
  <si>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</si>
  <si>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</si>
  <si>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</si>
  <si>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</si>
  <si>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</si>
  <si>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</si>
  <si>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</si>
  <si>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</si>
  <si>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</si>
  <si>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</si>
  <si>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</si>
  <si>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</si>
  <si>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</si>
  <si>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</si>
  <si>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</si>
  <si>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SULLIVAN SCHOOL DISTRICT SAU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</si>
</sst>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4"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8"/>
      <color rgb="FF000000"/>
      <name val="Tahoma"/>
      <family val="2"/>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25" zoomScaleNormal="125" workbookViewId="0">
      <pane xSplit="5" ySplit="3" topLeftCell="F42" activePane="bottomRight" state="frozen"/>
      <selection pane="topRight" activeCell="F1" sqref="F1"/>
      <selection pane="bottomLeft" activeCell="A4" sqref="A4"/>
      <selection pane="bottomRight" activeCell="H669" sqref="H669"/>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513</v>
      </c>
      <c r="C2" s="21">
        <v>513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376621.92</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196172.72</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11000.24</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376621.92</v>
      </c>
      <c r="G19" s="41">
        <f>SUM(G9:G18)</f>
        <v>0</v>
      </c>
      <c r="H19" s="41">
        <f>SUM(H9:H18)</f>
        <v>0</v>
      </c>
      <c r="I19" s="41">
        <f>SUM(I9:I18)</f>
        <v>0</v>
      </c>
      <c r="J19" s="41">
        <f>SUM(J9:J18)</f>
        <v>207172.96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207172.96</v>
      </c>
      <c r="K43" s="24" t="s">
        <v>288</v>
      </c>
      <c r="L43" s="24" t="s">
        <v>288</v>
      </c>
      <c r="M43" s="8"/>
      <c r="N43" s="266"/>
    </row>
    <row r="44" spans="1:14" s="3" customFormat="1" ht="12.2" customHeight="1" x14ac:dyDescent="0.15">
      <c r="A44" s="1" t="s">
        <v>837</v>
      </c>
      <c r="B44" s="6">
        <v>1</v>
      </c>
      <c r="C44" s="6">
        <v>30</v>
      </c>
      <c r="D44" s="2" t="s">
        <v>653</v>
      </c>
      <c r="E44" s="6">
        <v>755</v>
      </c>
      <c r="F44" s="18">
        <v>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376621.92-25000</f>
        <v>351621.92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376621.92</v>
      </c>
      <c r="G51" s="41">
        <f>SUM(G35:G50)</f>
        <v>0</v>
      </c>
      <c r="H51" s="41">
        <f>SUM(H35:H50)</f>
        <v>0</v>
      </c>
      <c r="I51" s="41">
        <f>SUM(I35:I50)</f>
        <v>0</v>
      </c>
      <c r="J51" s="41">
        <f>SUM(J35:J50)</f>
        <v>207172.96</v>
      </c>
      <c r="K51" s="45" t="s">
        <v>288</v>
      </c>
      <c r="L51" s="45" t="s">
        <v>288</v>
      </c>
      <c r="N51" s="264"/>
    </row>
    <row r="52" spans="1:14" s="3" customFormat="1" ht="12.2" customHeight="1" thickTop="1" x14ac:dyDescent="0.15">
      <c r="A52" s="38" t="s">
        <v>455</v>
      </c>
      <c r="B52" s="39" t="s">
        <v>289</v>
      </c>
      <c r="C52" s="6">
        <v>37</v>
      </c>
      <c r="D52" s="39" t="s">
        <v>653</v>
      </c>
      <c r="E52" s="39"/>
      <c r="F52" s="41">
        <f>F51+F32</f>
        <v>376621.92</v>
      </c>
      <c r="G52" s="41">
        <f>G51+G32</f>
        <v>0</v>
      </c>
      <c r="H52" s="41">
        <f>H51+H32</f>
        <v>0</v>
      </c>
      <c r="I52" s="41">
        <f>I51+I32</f>
        <v>0</v>
      </c>
      <c r="J52" s="41">
        <f>J51+J32</f>
        <v>207172.96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878487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878487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f>1500+8331.46-6308.11</f>
        <v>3523.3499999999995</v>
      </c>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3523.3499999999995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11000.24</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0</v>
      </c>
      <c r="G111" s="41">
        <f>SUM(G96:G110)</f>
        <v>0</v>
      </c>
      <c r="H111" s="41">
        <f>SUM(H96:H110)</f>
        <v>0</v>
      </c>
      <c r="I111" s="41">
        <f>SUM(I96:I110)</f>
        <v>0</v>
      </c>
      <c r="J111" s="41">
        <f>SUM(J96:J110)</f>
        <v>11000.24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882010.35</v>
      </c>
      <c r="G112" s="41">
        <f>G60+G111</f>
        <v>0</v>
      </c>
      <c r="H112" s="41">
        <f>H60+H79+H94+H111</f>
        <v>0</v>
      </c>
      <c r="I112" s="41">
        <f>I60+I111</f>
        <v>0</v>
      </c>
      <c r="J112" s="41">
        <f>J60+J111</f>
        <v>11000.24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587357.52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111736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0</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699093.52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6752.79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6752.79</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705846.31</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6308.11</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6308.11</v>
      </c>
      <c r="G162" s="41">
        <f>SUM(G150:G161)</f>
        <v>0</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6308.11</v>
      </c>
      <c r="G169" s="41">
        <f>G147+G162+SUM(G163:G168)</f>
        <v>0</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1594164.7700000003</v>
      </c>
      <c r="G193" s="47">
        <f>G112+G140+G169+G192</f>
        <v>0</v>
      </c>
      <c r="H193" s="47">
        <f>H112+H140+H169+H192</f>
        <v>0</v>
      </c>
      <c r="I193" s="47">
        <f>I112+I140+I169+I192</f>
        <v>0</v>
      </c>
      <c r="J193" s="47">
        <f>J112+J140+J192</f>
        <v>61000.24</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v>414635.12</v>
      </c>
      <c r="I197" s="18"/>
      <c r="J197" s="18"/>
      <c r="K197" s="18"/>
      <c r="L197" s="19">
        <f>SUM(F197:K197)</f>
        <v>414635.12</v>
      </c>
      <c r="M197" s="8"/>
      <c r="N197" s="266"/>
    </row>
    <row r="198" spans="1:14" s="3" customFormat="1" ht="12.2" customHeight="1" x14ac:dyDescent="0.15">
      <c r="A198" s="1" t="s">
        <v>439</v>
      </c>
      <c r="B198" s="2" t="s">
        <v>341</v>
      </c>
      <c r="C198" s="2" t="s">
        <v>291</v>
      </c>
      <c r="D198" s="2" t="s">
        <v>431</v>
      </c>
      <c r="E198" s="6">
        <v>1200</v>
      </c>
      <c r="F198" s="18"/>
      <c r="G198" s="18"/>
      <c r="H198" s="18">
        <v>168756.17</v>
      </c>
      <c r="I198" s="18"/>
      <c r="J198" s="18"/>
      <c r="K198" s="18"/>
      <c r="L198" s="19">
        <f>SUM(F198:K198)</f>
        <v>168756.17</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c r="I202" s="18"/>
      <c r="J202" s="18"/>
      <c r="K202" s="18"/>
      <c r="L202" s="19">
        <f t="shared" ref="L202:L208" si="0">SUM(F202:K202)</f>
        <v>0</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c r="G204" s="18"/>
      <c r="H204" s="18">
        <v>24635.23</v>
      </c>
      <c r="I204" s="18"/>
      <c r="J204" s="18"/>
      <c r="K204" s="18"/>
      <c r="L204" s="19">
        <f t="shared" si="0"/>
        <v>24635.23</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v>190.98</v>
      </c>
      <c r="I206" s="18"/>
      <c r="J206" s="18"/>
      <c r="K206" s="18"/>
      <c r="L206" s="19">
        <f t="shared" si="0"/>
        <v>190.98</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v>77952.789999999994</v>
      </c>
      <c r="I208" s="18"/>
      <c r="J208" s="18"/>
      <c r="K208" s="18"/>
      <c r="L208" s="19">
        <f t="shared" si="0"/>
        <v>77952.789999999994</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0</v>
      </c>
      <c r="G211" s="41">
        <f t="shared" si="1"/>
        <v>0</v>
      </c>
      <c r="H211" s="41">
        <f t="shared" si="1"/>
        <v>686170.29</v>
      </c>
      <c r="I211" s="41">
        <f t="shared" si="1"/>
        <v>0</v>
      </c>
      <c r="J211" s="41">
        <f t="shared" si="1"/>
        <v>0</v>
      </c>
      <c r="K211" s="41">
        <f t="shared" si="1"/>
        <v>0</v>
      </c>
      <c r="L211" s="41">
        <f t="shared" si="1"/>
        <v>686170.29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121951.5</v>
      </c>
      <c r="I215" s="18"/>
      <c r="J215" s="18"/>
      <c r="K215" s="18"/>
      <c r="L215" s="19">
        <f>SUM(F215:K215)</f>
        <v>121951.5</v>
      </c>
      <c r="M215" s="8"/>
      <c r="N215" s="266"/>
    </row>
    <row r="216" spans="1:14" s="3" customFormat="1" ht="12.2" customHeight="1" x14ac:dyDescent="0.15">
      <c r="A216" s="1" t="s">
        <v>439</v>
      </c>
      <c r="B216" s="2" t="s">
        <v>346</v>
      </c>
      <c r="C216" s="2" t="s">
        <v>291</v>
      </c>
      <c r="D216" s="2" t="s">
        <v>431</v>
      </c>
      <c r="E216" s="6">
        <v>1200</v>
      </c>
      <c r="F216" s="18"/>
      <c r="G216" s="18"/>
      <c r="H216" s="18">
        <v>49634.17</v>
      </c>
      <c r="I216" s="18"/>
      <c r="J216" s="18"/>
      <c r="K216" s="18"/>
      <c r="L216" s="19">
        <f>SUM(F216:K216)</f>
        <v>49634.17</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v>7245.66</v>
      </c>
      <c r="I222" s="18"/>
      <c r="J222" s="18"/>
      <c r="K222" s="18"/>
      <c r="L222" s="19">
        <f t="shared" si="2"/>
        <v>7245.66</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v>56.17</v>
      </c>
      <c r="I224" s="18"/>
      <c r="J224" s="18"/>
      <c r="K224" s="18"/>
      <c r="L224" s="19">
        <f t="shared" si="2"/>
        <v>56.17</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22927.29</v>
      </c>
      <c r="I226" s="18"/>
      <c r="J226" s="18"/>
      <c r="K226" s="18"/>
      <c r="L226" s="19">
        <f t="shared" si="2"/>
        <v>22927.29</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201814.79</v>
      </c>
      <c r="I229" s="41">
        <f>SUM(I215:I228)</f>
        <v>0</v>
      </c>
      <c r="J229" s="41">
        <f>SUM(J215:J228)</f>
        <v>0</v>
      </c>
      <c r="K229" s="41">
        <f t="shared" si="3"/>
        <v>0</v>
      </c>
      <c r="L229" s="41">
        <f t="shared" si="3"/>
        <v>201814.79</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276423.42</v>
      </c>
      <c r="I233" s="18"/>
      <c r="J233" s="18"/>
      <c r="K233" s="18"/>
      <c r="L233" s="19">
        <f>SUM(F233:K233)</f>
        <v>276423.42</v>
      </c>
      <c r="M233" s="8"/>
      <c r="N233" s="266"/>
    </row>
    <row r="234" spans="1:14" s="3" customFormat="1" ht="12.2" customHeight="1" x14ac:dyDescent="0.15">
      <c r="A234" s="1" t="s">
        <v>439</v>
      </c>
      <c r="B234" s="2" t="s">
        <v>350</v>
      </c>
      <c r="C234" s="2" t="s">
        <v>291</v>
      </c>
      <c r="D234" s="2" t="s">
        <v>431</v>
      </c>
      <c r="E234" s="6">
        <v>1200</v>
      </c>
      <c r="F234" s="18"/>
      <c r="G234" s="18"/>
      <c r="H234" s="18">
        <v>112504.13</v>
      </c>
      <c r="I234" s="18"/>
      <c r="J234" s="18"/>
      <c r="K234" s="18"/>
      <c r="L234" s="19">
        <f>SUM(F234:K234)</f>
        <v>112504.13</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v>16423.48</v>
      </c>
      <c r="I240" s="18"/>
      <c r="J240" s="18"/>
      <c r="K240" s="18"/>
      <c r="L240" s="19">
        <f t="shared" si="4"/>
        <v>16423.48</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v>127.33</v>
      </c>
      <c r="I242" s="18"/>
      <c r="J242" s="18"/>
      <c r="K242" s="18"/>
      <c r="L242" s="19">
        <f t="shared" si="4"/>
        <v>127.33</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51968.52</v>
      </c>
      <c r="I244" s="18"/>
      <c r="J244" s="18"/>
      <c r="K244" s="18"/>
      <c r="L244" s="19">
        <f t="shared" si="4"/>
        <v>51968.52</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457446.88</v>
      </c>
      <c r="I247" s="41">
        <f t="shared" si="5"/>
        <v>0</v>
      </c>
      <c r="J247" s="41">
        <f t="shared" si="5"/>
        <v>0</v>
      </c>
      <c r="K247" s="41">
        <f t="shared" si="5"/>
        <v>0</v>
      </c>
      <c r="L247" s="41">
        <f t="shared" si="5"/>
        <v>457446.88</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0</v>
      </c>
      <c r="G257" s="41">
        <f t="shared" si="8"/>
        <v>0</v>
      </c>
      <c r="H257" s="41">
        <f t="shared" si="8"/>
        <v>1345431.96</v>
      </c>
      <c r="I257" s="41">
        <f t="shared" si="8"/>
        <v>0</v>
      </c>
      <c r="J257" s="41">
        <f t="shared" si="8"/>
        <v>0</v>
      </c>
      <c r="K257" s="41">
        <f t="shared" si="8"/>
        <v>0</v>
      </c>
      <c r="L257" s="41">
        <f t="shared" si="8"/>
        <v>1345431.96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50000</v>
      </c>
      <c r="L266" s="19">
        <f t="shared" si="9"/>
        <v>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50000</v>
      </c>
      <c r="L270" s="41">
        <f t="shared" si="9"/>
        <v>50000</v>
      </c>
      <c r="N270" s="264"/>
    </row>
    <row r="271" spans="1:14" s="3" customFormat="1" ht="12.2" customHeight="1" thickTop="1" x14ac:dyDescent="0.2">
      <c r="A271" s="43" t="s">
        <v>464</v>
      </c>
      <c r="B271" s="40">
        <v>10</v>
      </c>
      <c r="C271" s="40">
        <v>18</v>
      </c>
      <c r="D271" s="39" t="s">
        <v>431</v>
      </c>
      <c r="E271" s="40"/>
      <c r="F271" s="42">
        <f t="shared" ref="F271:L271" si="11">F257+F270</f>
        <v>0</v>
      </c>
      <c r="G271" s="42">
        <f t="shared" si="11"/>
        <v>0</v>
      </c>
      <c r="H271" s="42">
        <f t="shared" si="11"/>
        <v>1345431.96</v>
      </c>
      <c r="I271" s="42">
        <f t="shared" si="11"/>
        <v>0</v>
      </c>
      <c r="J271" s="42">
        <f t="shared" si="11"/>
        <v>0</v>
      </c>
      <c r="K271" s="42">
        <f t="shared" si="11"/>
        <v>50000</v>
      </c>
      <c r="L271" s="42">
        <f t="shared" si="11"/>
        <v>1395431.96</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0</v>
      </c>
      <c r="J338" s="41">
        <f t="shared" si="20"/>
        <v>0</v>
      </c>
      <c r="K338" s="41">
        <f t="shared" si="20"/>
        <v>0</v>
      </c>
      <c r="L338" s="41">
        <f t="shared" si="20"/>
        <v>0</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0</v>
      </c>
      <c r="J352" s="41">
        <f>J338</f>
        <v>0</v>
      </c>
      <c r="K352" s="47">
        <f>K338+K351</f>
        <v>0</v>
      </c>
      <c r="L352" s="41">
        <f>L338+L351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0</v>
      </c>
      <c r="I362" s="47">
        <f t="shared" si="22"/>
        <v>0</v>
      </c>
      <c r="J362" s="47">
        <f t="shared" si="22"/>
        <v>0</v>
      </c>
      <c r="K362" s="47">
        <f t="shared" si="22"/>
        <v>0</v>
      </c>
      <c r="L362" s="47">
        <f t="shared" si="22"/>
        <v>0</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v>50000</v>
      </c>
      <c r="H397" s="18">
        <v>11000.24</v>
      </c>
      <c r="I397" s="18"/>
      <c r="J397" s="24" t="s">
        <v>288</v>
      </c>
      <c r="K397" s="24" t="s">
        <v>288</v>
      </c>
      <c r="L397" s="56">
        <f t="shared" si="26"/>
        <v>61000.24</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50000</v>
      </c>
      <c r="H401" s="47">
        <f>SUM(H395:H400)</f>
        <v>11000.24</v>
      </c>
      <c r="I401" s="47">
        <f>SUM(I395:I400)</f>
        <v>0</v>
      </c>
      <c r="J401" s="45" t="s">
        <v>288</v>
      </c>
      <c r="K401" s="45" t="s">
        <v>288</v>
      </c>
      <c r="L401" s="47">
        <f>SUM(L395:L400)</f>
        <v>61000.24</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50000</v>
      </c>
      <c r="H408" s="47">
        <f>H393+H401+H407</f>
        <v>11000.24</v>
      </c>
      <c r="I408" s="47">
        <f>I393+I401+I407</f>
        <v>0</v>
      </c>
      <c r="J408" s="24" t="s">
        <v>288</v>
      </c>
      <c r="K408" s="24" t="s">
        <v>288</v>
      </c>
      <c r="L408" s="47">
        <f>L393+L401+L407</f>
        <v>61000.24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t="s">
        <v>286</v>
      </c>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f>207172.96-11000.24</f>
        <v>196172.72</v>
      </c>
      <c r="G441" s="18"/>
      <c r="H441" s="18"/>
      <c r="I441" s="56">
        <f t="shared" si="33"/>
        <v>196172.72</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11000.24</v>
      </c>
      <c r="G442" s="18"/>
      <c r="H442" s="18"/>
      <c r="I442" s="56">
        <f t="shared" si="33"/>
        <v>11000.24</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207172.96</v>
      </c>
      <c r="G446" s="13">
        <f>SUM(G439:G445)</f>
        <v>0</v>
      </c>
      <c r="H446" s="13">
        <f>SUM(H439:H445)</f>
        <v>0</v>
      </c>
      <c r="I446" s="13">
        <f>SUM(I439:I445)</f>
        <v>207172.96</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v>207172.96</v>
      </c>
      <c r="G456" s="18"/>
      <c r="H456" s="18"/>
      <c r="I456" s="56">
        <f t="shared" si="34"/>
        <v>207172.96</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207172.96</v>
      </c>
      <c r="G460" s="83">
        <f>SUM(G454:G459)</f>
        <v>0</v>
      </c>
      <c r="H460" s="83">
        <f>SUM(H454:H459)</f>
        <v>0</v>
      </c>
      <c r="I460" s="83">
        <f>SUM(I454:I459)</f>
        <v>207172.96</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207172.96</v>
      </c>
      <c r="G461" s="42">
        <f>G452+G460</f>
        <v>0</v>
      </c>
      <c r="H461" s="42">
        <f>H452+H460</f>
        <v>0</v>
      </c>
      <c r="I461" s="42">
        <f>I452+I460</f>
        <v>207172.96</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177889.11</v>
      </c>
      <c r="G465" s="18"/>
      <c r="H465" s="18"/>
      <c r="I465" s="18"/>
      <c r="J465" s="18">
        <v>146172.72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1594164.77</v>
      </c>
      <c r="G468" s="18"/>
      <c r="H468" s="18"/>
      <c r="I468" s="18"/>
      <c r="J468" s="18">
        <v>61000.24</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1594164.77</v>
      </c>
      <c r="G470" s="53">
        <f>SUM(G468:G469)</f>
        <v>0</v>
      </c>
      <c r="H470" s="53">
        <f>SUM(H468:H469)</f>
        <v>0</v>
      </c>
      <c r="I470" s="53">
        <f>SUM(I468:I469)</f>
        <v>0</v>
      </c>
      <c r="J470" s="53">
        <f>SUM(J468:J469)</f>
        <v>61000.24</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1395431.96</v>
      </c>
      <c r="G472" s="18"/>
      <c r="H472" s="18"/>
      <c r="I472" s="18"/>
      <c r="J472" s="18" t="s">
        <v>286</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1395431.96</v>
      </c>
      <c r="G474" s="53">
        <f>SUM(G472:G473)</f>
        <v>0</v>
      </c>
      <c r="H474" s="53">
        <f>SUM(H472:H473)</f>
        <v>0</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376621.91999999993</v>
      </c>
      <c r="G476" s="53">
        <f>(G465+G470)- G474</f>
        <v>0</v>
      </c>
      <c r="H476" s="53">
        <f>(H465+H470)- H474</f>
        <v>0</v>
      </c>
      <c r="I476" s="53">
        <f>(I465+I470)- I474</f>
        <v>0</v>
      </c>
      <c r="J476" s="53">
        <f>(J465+J470)- J474</f>
        <v>207172.96</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c r="I521" s="18"/>
      <c r="J521" s="18"/>
      <c r="K521" s="18"/>
      <c r="L521" s="88">
        <f>SUM(F521:K521)</f>
        <v>0</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0</v>
      </c>
      <c r="G524" s="108">
        <f t="shared" ref="G524:L524" si="36">SUM(G521:G523)</f>
        <v>0</v>
      </c>
      <c r="H524" s="108">
        <f t="shared" si="36"/>
        <v>0</v>
      </c>
      <c r="I524" s="108">
        <f t="shared" si="36"/>
        <v>0</v>
      </c>
      <c r="J524" s="108">
        <f t="shared" si="36"/>
        <v>0</v>
      </c>
      <c r="K524" s="108">
        <f t="shared" si="36"/>
        <v>0</v>
      </c>
      <c r="L524" s="89">
        <f t="shared" si="36"/>
        <v>0</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168756.17</v>
      </c>
      <c r="I526" s="18"/>
      <c r="J526" s="18"/>
      <c r="K526" s="18"/>
      <c r="L526" s="88">
        <f>SUM(F526:K526)</f>
        <v>168756.17</v>
      </c>
      <c r="M526" s="8"/>
      <c r="N526" s="266"/>
    </row>
    <row r="527" spans="1:14" s="3" customFormat="1" ht="12.2" customHeight="1" x14ac:dyDescent="0.15">
      <c r="A527" s="22" t="s">
        <v>634</v>
      </c>
      <c r="B527" s="105">
        <v>21</v>
      </c>
      <c r="C527" s="115">
        <v>6</v>
      </c>
      <c r="D527" s="2" t="s">
        <v>432</v>
      </c>
      <c r="E527" s="115"/>
      <c r="F527" s="18"/>
      <c r="G527" s="18"/>
      <c r="H527" s="18">
        <v>49634.17</v>
      </c>
      <c r="I527" s="18"/>
      <c r="J527" s="18"/>
      <c r="K527" s="18"/>
      <c r="L527" s="88">
        <f>SUM(F527:K527)</f>
        <v>49634.17</v>
      </c>
      <c r="M527" s="8"/>
      <c r="N527" s="266"/>
    </row>
    <row r="528" spans="1:14" s="3" customFormat="1" ht="12.2" customHeight="1" thickBot="1" x14ac:dyDescent="0.2">
      <c r="A528" s="22" t="s">
        <v>635</v>
      </c>
      <c r="B528" s="118">
        <v>21</v>
      </c>
      <c r="C528" s="118">
        <v>7</v>
      </c>
      <c r="D528" s="2" t="s">
        <v>432</v>
      </c>
      <c r="E528" s="118"/>
      <c r="F528" s="18"/>
      <c r="G528" s="18"/>
      <c r="H528" s="18">
        <v>112504.13</v>
      </c>
      <c r="I528" s="18"/>
      <c r="J528" s="18"/>
      <c r="K528" s="18"/>
      <c r="L528" s="88">
        <f>SUM(F528:K528)</f>
        <v>112504.13</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330894.47000000003</v>
      </c>
      <c r="I529" s="89">
        <f t="shared" si="37"/>
        <v>0</v>
      </c>
      <c r="J529" s="89">
        <f t="shared" si="37"/>
        <v>0</v>
      </c>
      <c r="K529" s="89">
        <f t="shared" si="37"/>
        <v>0</v>
      </c>
      <c r="L529" s="89">
        <f t="shared" si="37"/>
        <v>330894.47000000003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0</v>
      </c>
      <c r="I534" s="89">
        <f t="shared" si="38"/>
        <v>0</v>
      </c>
      <c r="J534" s="89">
        <f t="shared" si="38"/>
        <v>0</v>
      </c>
      <c r="K534" s="89">
        <f t="shared" si="38"/>
        <v>0</v>
      </c>
      <c r="L534" s="89">
        <f t="shared" si="38"/>
        <v>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0</v>
      </c>
      <c r="G545" s="89">
        <f t="shared" ref="G545:L545" si="41">G524+G529+G534+G539+G544</f>
        <v>0</v>
      </c>
      <c r="H545" s="89">
        <f t="shared" si="41"/>
        <v>330894.47000000003</v>
      </c>
      <c r="I545" s="89">
        <f t="shared" si="41"/>
        <v>0</v>
      </c>
      <c r="J545" s="89">
        <f t="shared" si="41"/>
        <v>0</v>
      </c>
      <c r="K545" s="89">
        <f t="shared" si="41"/>
        <v>0</v>
      </c>
      <c r="L545" s="89">
        <f t="shared" si="41"/>
        <v>330894.47000000003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0</v>
      </c>
      <c r="G549" s="87">
        <f>L526</f>
        <v>168756.17</v>
      </c>
      <c r="H549" s="87">
        <f>L531</f>
        <v>0</v>
      </c>
      <c r="I549" s="87">
        <f>L536</f>
        <v>0</v>
      </c>
      <c r="J549" s="87">
        <f>L541</f>
        <v>0</v>
      </c>
      <c r="K549" s="87">
        <f>SUM(F549:J549)</f>
        <v>168756.17</v>
      </c>
      <c r="L549" s="24" t="s">
        <v>288</v>
      </c>
      <c r="M549" s="8"/>
      <c r="N549" s="266"/>
    </row>
    <row r="550" spans="1:14" s="3" customFormat="1" ht="12.2" customHeight="1" x14ac:dyDescent="0.15">
      <c r="A550" s="22" t="s">
        <v>634</v>
      </c>
      <c r="B550" s="75">
        <v>21</v>
      </c>
      <c r="C550" s="75">
        <v>23</v>
      </c>
      <c r="D550" s="2" t="s">
        <v>432</v>
      </c>
      <c r="E550" s="75"/>
      <c r="F550" s="87">
        <f>L522</f>
        <v>0</v>
      </c>
      <c r="G550" s="87">
        <f>L527</f>
        <v>49634.17</v>
      </c>
      <c r="H550" s="87">
        <f>L532</f>
        <v>0</v>
      </c>
      <c r="I550" s="87">
        <f>L537</f>
        <v>0</v>
      </c>
      <c r="J550" s="87">
        <f>L542</f>
        <v>0</v>
      </c>
      <c r="K550" s="87">
        <f>SUM(F550:J550)</f>
        <v>49634.17</v>
      </c>
      <c r="L550" s="24" t="s">
        <v>288</v>
      </c>
      <c r="M550" s="8"/>
      <c r="N550" s="266"/>
    </row>
    <row r="551" spans="1:14" s="3" customFormat="1" ht="12.2" customHeight="1" thickBot="1" x14ac:dyDescent="0.2">
      <c r="A551" s="22" t="s">
        <v>635</v>
      </c>
      <c r="B551" s="75">
        <v>21</v>
      </c>
      <c r="C551" s="75">
        <v>24</v>
      </c>
      <c r="D551" s="2" t="s">
        <v>432</v>
      </c>
      <c r="E551" s="75"/>
      <c r="F551" s="87">
        <f>L523</f>
        <v>0</v>
      </c>
      <c r="G551" s="87">
        <f>L528</f>
        <v>112504.13</v>
      </c>
      <c r="H551" s="87">
        <f>L533</f>
        <v>0</v>
      </c>
      <c r="I551" s="87">
        <f>L538</f>
        <v>0</v>
      </c>
      <c r="J551" s="87">
        <f>L543</f>
        <v>0</v>
      </c>
      <c r="K551" s="87">
        <f>SUM(F551:J551)</f>
        <v>112504.13</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0</v>
      </c>
      <c r="G552" s="89">
        <f t="shared" si="42"/>
        <v>330894.47000000003</v>
      </c>
      <c r="H552" s="89">
        <f t="shared" si="42"/>
        <v>0</v>
      </c>
      <c r="I552" s="89">
        <f t="shared" si="42"/>
        <v>0</v>
      </c>
      <c r="J552" s="89">
        <f t="shared" si="42"/>
        <v>0</v>
      </c>
      <c r="K552" s="89">
        <f t="shared" si="42"/>
        <v>330894.47000000003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414635.12</v>
      </c>
      <c r="G575" s="18">
        <v>121951.5</v>
      </c>
      <c r="H575" s="18">
        <v>276423.42</v>
      </c>
      <c r="I575" s="87">
        <f>SUM(F575:H575)</f>
        <v>813010.04</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168756.17</v>
      </c>
      <c r="G579" s="18">
        <v>49634.17</v>
      </c>
      <c r="H579" s="18">
        <v>112504.13</v>
      </c>
      <c r="I579" s="87">
        <f t="shared" si="47"/>
        <v>330894.47000000003</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77952.789999999994</v>
      </c>
      <c r="I591" s="18">
        <v>22927.29</v>
      </c>
      <c r="J591" s="18">
        <v>51968.52</v>
      </c>
      <c r="K591" s="104">
        <f t="shared" ref="K591:K597" si="48">SUM(H591:J591)</f>
        <v>152848.59999999998</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77952.789999999994</v>
      </c>
      <c r="I598" s="108">
        <f>SUM(I591:I597)</f>
        <v>22927.29</v>
      </c>
      <c r="J598" s="108">
        <f>SUM(J591:J597)</f>
        <v>51968.52</v>
      </c>
      <c r="K598" s="108">
        <f>SUM(K591:K597)</f>
        <v>152848.59999999998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c r="K604" s="104">
        <f>SUM(H604:J604)</f>
        <v>0</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0</v>
      </c>
      <c r="K605" s="108">
        <f>SUM(K602:K604)</f>
        <v>0</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376621.92</v>
      </c>
      <c r="H617" s="109">
        <f>SUM(F52)</f>
        <v>376621.92</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207172.96</v>
      </c>
      <c r="H621" s="109">
        <f>SUM(J52)</f>
        <v>207172.96</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376621.92</v>
      </c>
      <c r="H622" s="109">
        <f>F476</f>
        <v>376621.91999999993</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207172.96</v>
      </c>
      <c r="H626" s="109">
        <f>J476</f>
        <v>207172.96</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1594164.7700000003</v>
      </c>
      <c r="H627" s="104">
        <f>SUM(F468)</f>
        <v>1594164.77</v>
      </c>
      <c r="I627" s="140" t="s">
        <v>106</v>
      </c>
      <c r="J627" s="109">
        <f>G627-H627</f>
        <v>0</v>
      </c>
      <c r="K627" s="85"/>
      <c r="L627" s="88"/>
      <c r="M627" s="8"/>
    </row>
    <row r="628" spans="1:13" s="3" customFormat="1" ht="12.2" customHeight="1" x14ac:dyDescent="0.15">
      <c r="A628" s="22"/>
      <c r="B628" s="105"/>
      <c r="C628" s="105"/>
      <c r="D628" s="105"/>
      <c r="E628" s="105"/>
      <c r="F628" s="120" t="s">
        <v>659</v>
      </c>
      <c r="G628" s="109">
        <f>G193</f>
        <v>0</v>
      </c>
      <c r="H628" s="104">
        <f>SUM(G468)</f>
        <v>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0</v>
      </c>
      <c r="H629" s="104">
        <f>SUM(H468)</f>
        <v>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61000.24</v>
      </c>
      <c r="H631" s="104">
        <f>SUM(J468)</f>
        <v>61000.24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1395431.96</v>
      </c>
      <c r="H632" s="104">
        <f>SUM(F472)</f>
        <v>1395431.96</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0</v>
      </c>
      <c r="H633" s="104">
        <f>SUM(H472)</f>
        <v>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0</v>
      </c>
      <c r="H635" s="104">
        <f>SUM(G472)</f>
        <v>0</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61000.24</v>
      </c>
      <c r="H637" s="164">
        <f>SUM(J468)</f>
        <v>61000.24</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207172.96</v>
      </c>
      <c r="H639" s="104">
        <f>SUM(F461)</f>
        <v>207172.96</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207172.96</v>
      </c>
      <c r="H642" s="104">
        <f>SUM(I461)</f>
        <v>207172.96</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11000.24</v>
      </c>
      <c r="H644" s="104">
        <f>H408</f>
        <v>11000.24</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50000</v>
      </c>
      <c r="H645" s="104">
        <f>G408</f>
        <v>50000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61000.24</v>
      </c>
      <c r="H646" s="104">
        <f>L408</f>
        <v>61000.24</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152848.59999999998</v>
      </c>
      <c r="H647" s="104">
        <f>L208+L226+L244</f>
        <v>152848.59999999998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0</v>
      </c>
      <c r="H648" s="104">
        <f>(J257+J338)-(J255+J336)</f>
        <v>0</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77952.789999999994</v>
      </c>
      <c r="H649" s="104">
        <f>H598</f>
        <v>77952.789999999994</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22927.29</v>
      </c>
      <c r="H650" s="104">
        <f>I598</f>
        <v>22927.29</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51968.52</v>
      </c>
      <c r="H651" s="104">
        <f>J598</f>
        <v>51968.52</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50000</v>
      </c>
      <c r="H655" s="104">
        <f>K266+K347</f>
        <v>50000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686170.29</v>
      </c>
      <c r="G660" s="19">
        <f>(L229+L309+L359)</f>
        <v>201814.79</v>
      </c>
      <c r="H660" s="19">
        <f>(L247+L328+L360)</f>
        <v>457446.88</v>
      </c>
      <c r="I660" s="19">
        <f>SUM(F660:H660)</f>
        <v>1345431.96</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77952.789999999994</v>
      </c>
      <c r="G662" s="19">
        <f>(L226+L306)-(J226+J306)</f>
        <v>22927.29</v>
      </c>
      <c r="H662" s="19">
        <f>(L244+L325)-(J244+J325)</f>
        <v>51968.52</v>
      </c>
      <c r="I662" s="19">
        <f>SUM(F662:H662)</f>
        <v>152848.59999999998</v>
      </c>
      <c r="J662"/>
      <c r="K662" s="13"/>
      <c r="L662" s="13"/>
      <c r="M662" s="8"/>
    </row>
    <row r="663" spans="1:13" s="3" customFormat="1" ht="12.2" customHeight="1" x14ac:dyDescent="0.15">
      <c r="A663" s="198" t="s">
        <v>129</v>
      </c>
      <c r="B663" s="169"/>
      <c r="C663" s="169"/>
      <c r="D663" s="169"/>
      <c r="E663" s="169"/>
      <c r="F663" s="199">
        <f>SUM(F575:F587)+SUM(H602:H604)+SUM(L611)</f>
        <v>583391.29</v>
      </c>
      <c r="G663" s="199">
        <f>SUM(G575:G587)+SUM(I602:I604)+L612</f>
        <v>171585.66999999998</v>
      </c>
      <c r="H663" s="199">
        <f>SUM(H575:H587)+SUM(J602:J604)+L613</f>
        <v>388927.55</v>
      </c>
      <c r="I663" s="19">
        <f>SUM(F663:H663)</f>
        <v>1143904.51</v>
      </c>
      <c r="J663" s="13"/>
      <c r="K663" s="13"/>
      <c r="L663" s="13"/>
      <c r="M663" s="9"/>
    </row>
    <row r="664" spans="1:13" s="3" customFormat="1" ht="12.2" customHeight="1" x14ac:dyDescent="0.15">
      <c r="A664" s="1" t="s">
        <v>130</v>
      </c>
      <c r="F664" s="19">
        <f>F660-SUM(F661:F663)</f>
        <v>24826.209999999963</v>
      </c>
      <c r="G664" s="19">
        <f>G660-SUM(G661:G663)</f>
        <v>7301.8300000000163</v>
      </c>
      <c r="H664" s="19">
        <f>H660-SUM(H661:H663)</f>
        <v>16550.809999999998</v>
      </c>
      <c r="I664" s="19">
        <f>I660-SUM(I661:I663)</f>
        <v>48678.850000000093</v>
      </c>
      <c r="J664" s="13"/>
      <c r="K664" s="13"/>
      <c r="L664" s="13"/>
      <c r="M664" s="9"/>
    </row>
    <row r="665" spans="1:13" s="3" customFormat="1" ht="12.2" customHeight="1" x14ac:dyDescent="0.2">
      <c r="A665" s="1" t="s">
        <v>131</v>
      </c>
      <c r="F665" s="246"/>
      <c r="G665" s="247"/>
      <c r="H665" s="247"/>
      <c r="I665" s="19">
        <f>SUM(F665:H665)</f>
        <v>0</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t="e">
        <f>ROUND(H664/H665,2)</f>
        <v>#DIV/0!</v>
      </c>
      <c r="I667" s="19" t="e">
        <f>ROUND(I664/I665,2)</f>
        <v>#DIV/0!</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v>-24826.21</v>
      </c>
      <c r="G669" s="18">
        <v>-7301.83</v>
      </c>
      <c r="H669" s="18">
        <v>-16550.810000000001</v>
      </c>
      <c r="I669" s="19">
        <f>SUM(F669:H669)</f>
        <v>-48678.850000000006</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t="e">
        <f>ROUND((H664+H669)/(H665+H670),2)</f>
        <v>#DIV/0!</v>
      </c>
      <c r="I672" s="19" t="e">
        <f>ROUND((I664+I669)/(I665+I670),2)</f>
        <v>#DIV/0!</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0" sqref="B10"/>
    </sheetView>
  </sheetViews>
  <sheetFormatPr defaultColWidth="8.6640625" defaultRowHeight="11.25" x14ac:dyDescent="0.2"/>
  <cols>
    <col min="1" max="1" width="26.6640625" customWidth="1"/>
    <col min="2" max="2" width="33.6640625" customWidth="1"/>
    <col min="3" max="3" width="29.5" customWidth="1"/>
  </cols>
  <sheetData>
    <row r="1" spans="1:3" x14ac:dyDescent="0.2">
      <c r="A1" s="233" t="s">
        <v>781</v>
      </c>
      <c r="B1" s="232" t="str">
        <f>'DOE25'!A2</f>
        <v>SULLIVAN SCHOOL DISTRICT SAU 96</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0</v>
      </c>
      <c r="C9" s="229">
        <f>'DOE25'!G197+'DOE25'!G215+'DOE25'!G233+'DOE25'!G276+'DOE25'!G295+'DOE25'!G314</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0</v>
      </c>
      <c r="C18" s="229">
        <f>'DOE25'!G198+'DOE25'!G216+'DOE25'!G234+'DOE25'!G277+'DOE25'!G296+'DOE25'!G315</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5" sqref="F5"/>
    </sheetView>
  </sheetViews>
  <sheetFormatPr defaultColWidth="8.6640625" defaultRowHeight="11.25" x14ac:dyDescent="0.2"/>
  <cols>
    <col min="1" max="1" width="10.6640625" customWidth="1"/>
    <col min="2" max="2" width="41.1640625" customWidth="1"/>
    <col min="3" max="3" width="13.5" bestFit="1" customWidth="1"/>
    <col min="4" max="5" width="17.6640625" customWidth="1"/>
    <col min="6" max="6" width="17" customWidth="1"/>
    <col min="7" max="7" width="15.5" customWidth="1"/>
    <col min="8" max="8" width="12.66406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SULLIVAN SCHOOL DISTRICT SAU 96</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1143904.51</v>
      </c>
      <c r="D5" s="20">
        <f>SUM('DOE25'!L197:L200)+SUM('DOE25'!L215:L218)+SUM('DOE25'!L233:L236)-F5-G5-H5</f>
        <v>1143904.51</v>
      </c>
      <c r="E5" s="243"/>
      <c r="F5" s="244"/>
      <c r="G5" s="53">
        <f>SUM('DOE25'!J197:J200)+SUM('DOE25'!J215:J218)+SUM('DOE25'!J233:J236)</f>
        <v>0</v>
      </c>
      <c r="H5" s="53">
        <f>SUM('DOE25'!K197:K200)+SUM('DOE25'!K215:K218)+SUM('DOE25'!K233:K236)</f>
        <v>0</v>
      </c>
      <c r="I5" s="256"/>
    </row>
    <row r="6" spans="1:9" x14ac:dyDescent="0.2">
      <c r="A6" s="32">
        <v>2100</v>
      </c>
      <c r="B6" t="s">
        <v>796</v>
      </c>
      <c r="C6" s="276">
        <f t="shared" si="0"/>
        <v>0</v>
      </c>
      <c r="D6" s="20">
        <f>'DOE25'!L202+'DOE25'!L220+'DOE25'!L238-F6-G6-H6</f>
        <v>0</v>
      </c>
      <c r="E6" s="243"/>
      <c r="F6" s="244"/>
      <c r="G6" s="53">
        <f>'DOE25'!J202+'DOE25'!J220+'DOE25'!J238</f>
        <v>0</v>
      </c>
      <c r="H6" s="53">
        <f>'DOE25'!K202+'DOE25'!K220+'DOE25'!K238</f>
        <v>0</v>
      </c>
      <c r="I6" s="256"/>
    </row>
    <row r="7" spans="1:9" x14ac:dyDescent="0.2">
      <c r="A7" s="32">
        <v>2200</v>
      </c>
      <c r="B7" t="s">
        <v>821</v>
      </c>
      <c r="C7" s="276">
        <f t="shared" si="0"/>
        <v>0</v>
      </c>
      <c r="D7" s="20">
        <f>'DOE25'!L203+'DOE25'!L221+'DOE25'!L239-F7-G7-H7</f>
        <v>0</v>
      </c>
      <c r="E7" s="243"/>
      <c r="F7" s="244"/>
      <c r="G7" s="53">
        <f>'DOE25'!J203+'DOE25'!J221+'DOE25'!J239</f>
        <v>0</v>
      </c>
      <c r="H7" s="53">
        <f>'DOE25'!K203+'DOE25'!K221+'DOE25'!K239</f>
        <v>0</v>
      </c>
      <c r="I7" s="256"/>
    </row>
    <row r="8" spans="1:9" x14ac:dyDescent="0.2">
      <c r="A8" s="32">
        <v>2300</v>
      </c>
      <c r="B8" t="s">
        <v>797</v>
      </c>
      <c r="C8" s="276">
        <f t="shared" si="0"/>
        <v>48304.369999999995</v>
      </c>
      <c r="D8" s="243"/>
      <c r="E8" s="20">
        <f>'DOE25'!L204+'DOE25'!L222+'DOE25'!L240-F8-G8-H8-D9-D11</f>
        <v>48304.369999999995</v>
      </c>
      <c r="F8" s="244"/>
      <c r="G8" s="53">
        <f>'DOE25'!J204+'DOE25'!J222+'DOE25'!J240</f>
        <v>0</v>
      </c>
      <c r="H8" s="53">
        <f>'DOE25'!K204+'DOE25'!K222+'DOE25'!K240</f>
        <v>0</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0</v>
      </c>
      <c r="D12" s="20">
        <f>'DOE25'!L205+'DOE25'!L223+'DOE25'!L241-F12-G12-H12</f>
        <v>0</v>
      </c>
      <c r="E12" s="243"/>
      <c r="F12" s="244"/>
      <c r="G12" s="53">
        <f>'DOE25'!J205+'DOE25'!J223+'DOE25'!J241</f>
        <v>0</v>
      </c>
      <c r="H12" s="53">
        <f>'DOE25'!K205+'DOE25'!K223+'DOE25'!K241</f>
        <v>0</v>
      </c>
      <c r="I12" s="256"/>
    </row>
    <row r="13" spans="1:9" x14ac:dyDescent="0.2">
      <c r="A13" s="32">
        <v>2500</v>
      </c>
      <c r="B13" t="s">
        <v>798</v>
      </c>
      <c r="C13" s="276">
        <f t="shared" si="0"/>
        <v>374.47999999999996</v>
      </c>
      <c r="D13" s="243"/>
      <c r="E13" s="20">
        <f>'DOE25'!L206+'DOE25'!L224+'DOE25'!L242-F13-G13-H13</f>
        <v>374.47999999999996</v>
      </c>
      <c r="F13" s="244"/>
      <c r="G13" s="53">
        <f>'DOE25'!J206+'DOE25'!J224+'DOE25'!J242</f>
        <v>0</v>
      </c>
      <c r="H13" s="53">
        <f>'DOE25'!K206+'DOE25'!K224+'DOE25'!K242</f>
        <v>0</v>
      </c>
      <c r="I13" s="256"/>
    </row>
    <row r="14" spans="1:9" x14ac:dyDescent="0.2">
      <c r="A14" s="32">
        <v>2600</v>
      </c>
      <c r="B14" t="s">
        <v>819</v>
      </c>
      <c r="C14" s="276">
        <f t="shared" si="0"/>
        <v>0</v>
      </c>
      <c r="D14" s="20">
        <f>'DOE25'!L207+'DOE25'!L225+'DOE25'!L243-F14-G14-H14</f>
        <v>0</v>
      </c>
      <c r="E14" s="243"/>
      <c r="F14" s="244"/>
      <c r="G14" s="53">
        <f>'DOE25'!J207+'DOE25'!J225+'DOE25'!J243</f>
        <v>0</v>
      </c>
      <c r="H14" s="53">
        <f>'DOE25'!K207+'DOE25'!K225+'DOE25'!K243</f>
        <v>0</v>
      </c>
      <c r="I14" s="256"/>
    </row>
    <row r="15" spans="1:9" x14ac:dyDescent="0.2">
      <c r="A15" s="32">
        <v>2700</v>
      </c>
      <c r="B15" t="s">
        <v>799</v>
      </c>
      <c r="C15" s="276">
        <f t="shared" si="0"/>
        <v>152848.59999999998</v>
      </c>
      <c r="D15" s="20">
        <f>'DOE25'!L208+'DOE25'!L226+'DOE25'!L244-F15-G15-H15</f>
        <v>152848.59999999998</v>
      </c>
      <c r="E15" s="243"/>
      <c r="F15" s="244"/>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'DOE25'!L358+'DOE25'!L359+'DOE25'!L360-'DOE25'!I367-F29-G29-H29</f>
        <v>0</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0</v>
      </c>
      <c r="D31" s="20">
        <f>'DOE25'!L290+'DOE25'!L309+'DOE25'!L328+'DOE25'!L333+'DOE25'!L334+'DOE25'!L335-F31-G31-H31</f>
        <v>0</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1296753.1099999999</v>
      </c>
      <c r="E33" s="245">
        <f t="shared" si="1"/>
        <v>48678.85</v>
      </c>
      <c r="F33" s="245">
        <f t="shared" si="1"/>
        <v>0</v>
      </c>
      <c r="G33" s="245">
        <f t="shared" si="1"/>
        <v>0</v>
      </c>
      <c r="H33" s="245">
        <f t="shared" si="1"/>
        <v>0</v>
      </c>
      <c r="I33" s="245">
        <f t="shared" si="1"/>
        <v>0</v>
      </c>
    </row>
    <row r="35" spans="1:9" ht="12" thickBot="1" x14ac:dyDescent="0.25">
      <c r="B35" s="251" t="s">
        <v>831</v>
      </c>
      <c r="D35" s="252">
        <f>E33</f>
        <v>48678.85</v>
      </c>
      <c r="E35" s="248"/>
    </row>
    <row r="36" spans="1:9" ht="12" thickTop="1" x14ac:dyDescent="0.2">
      <c r="B36" t="s">
        <v>810</v>
      </c>
      <c r="D36" s="20">
        <f>D33</f>
        <v>1296753.1099999999</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2" sqref="A2"/>
    </sheetView>
  </sheetViews>
  <sheetFormatPr defaultColWidth="8.6640625" defaultRowHeight="11.25" x14ac:dyDescent="0.2"/>
  <cols>
    <col min="1" max="1" width="35.6640625" customWidth="1"/>
    <col min="2" max="2" width="22.1640625" customWidth="1"/>
    <col min="3" max="3" width="22" customWidth="1"/>
    <col min="4" max="5" width="14.6640625" customWidth="1"/>
    <col min="6" max="6" width="12.6640625" customWidth="1"/>
    <col min="7" max="7" width="23.6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SULLIVAN SCHOOL DISTRICT SAU 96</v>
      </c>
      <c r="B2" s="126">
        <f>'DOE25'!B2</f>
        <v>513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0</v>
      </c>
      <c r="G4" s="303">
        <f>'DOE25'!L211+'DOE25'!L290</f>
        <v>686170.29</v>
      </c>
      <c r="H4" s="304">
        <f>F4-G4</f>
        <v>-686170.29</v>
      </c>
      <c r="I4" s="310" t="str">
        <f>IF(H4=0,"","Does not match DOE25 page 7 and 11 Totals!!")</f>
        <v>Does not match DOE25 page 7 and 11 Totals!!</v>
      </c>
      <c r="N4"/>
    </row>
    <row r="5" spans="1:18" x14ac:dyDescent="0.2">
      <c r="A5" s="21"/>
      <c r="B5" s="305" t="str">
        <f>IFERROR(VLOOKUP(A5,'School Tables'!$C$3:$D$368,2,FALSE),"")</f>
        <v/>
      </c>
      <c r="C5" s="297" t="str">
        <f>IFERROR(INDEX('School Tables'!$B$3:$B$368,MATCH('School Level Expenditures'!B5,'School Tables'!$D$3:$D$368,0)),"")</f>
        <v/>
      </c>
      <c r="D5" s="294"/>
      <c r="E5" s="294"/>
      <c r="F5" s="313">
        <f>D5+E5</f>
        <v>0</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201814.79</v>
      </c>
      <c r="H24" s="304">
        <f>F24-G24</f>
        <v>-201814.79</v>
      </c>
      <c r="I24" s="310" t="str">
        <f>IF(H24=0,"","Does not match DOE25 page 8 and 12 Totals!!")</f>
        <v>Does not match DOE25 page 8 and 12 Totals!!</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457446.88</v>
      </c>
      <c r="H36" s="304">
        <f>F36-G36</f>
        <v>-457446.88</v>
      </c>
      <c r="I36" s="310" t="str">
        <f>IF(H36=0,"","Does not match DOE25 page 9 and 13 Totals!!")</f>
        <v>Does not match DOE25 page 9 and 13 Totals!!</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25" zoomScaleNormal="125" workbookViewId="0">
      <pane ySplit="2" topLeftCell="A3" activePane="bottomLeft" state="frozen"/>
      <selection activeCell="F46" sqref="F46"/>
      <selection pane="bottomLeft" activeCell="A2" sqref="A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SULLIVAN SCHOOL DISTRICT SAU 96</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376621.92</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196172.72</v>
      </c>
      <c r="H11" s="124"/>
      <c r="I11" s="124"/>
    </row>
    <row r="12" spans="1:9" x14ac:dyDescent="0.2">
      <c r="A12" s="1" t="s">
        <v>143</v>
      </c>
      <c r="B12" s="6">
        <v>140</v>
      </c>
      <c r="C12" s="95">
        <f>'DOE25'!F13</f>
        <v>0</v>
      </c>
      <c r="D12" s="95">
        <f>'DOE25'!G13</f>
        <v>0</v>
      </c>
      <c r="E12" s="95">
        <f>'DOE25'!H13</f>
        <v>0</v>
      </c>
      <c r="F12" s="95">
        <f>'DOE25'!I13</f>
        <v>0</v>
      </c>
      <c r="G12" s="95">
        <f>'DOE25'!J13</f>
        <v>11000.24</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376621.92</v>
      </c>
      <c r="D18" s="41">
        <f>SUM(D8:D17)</f>
        <v>0</v>
      </c>
      <c r="E18" s="41">
        <f>SUM(E8:E17)</f>
        <v>0</v>
      </c>
      <c r="F18" s="41">
        <f>SUM(F8:F17)</f>
        <v>0</v>
      </c>
      <c r="G18" s="41">
        <f>SUM(G8:G17)</f>
        <v>207172.96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207172.96</v>
      </c>
      <c r="H42" s="124"/>
      <c r="I42" s="124"/>
    </row>
    <row r="43" spans="1:9" x14ac:dyDescent="0.2">
      <c r="A43" s="1" t="s">
        <v>863</v>
      </c>
      <c r="B43" s="6">
        <v>755</v>
      </c>
      <c r="C43" s="95">
        <f>'DOE25'!F44</f>
        <v>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351621.92</v>
      </c>
      <c r="D49" s="24" t="s">
        <v>288</v>
      </c>
      <c r="E49" s="24" t="s">
        <v>288</v>
      </c>
      <c r="F49" s="24" t="s">
        <v>288</v>
      </c>
      <c r="G49" s="24" t="s">
        <v>288</v>
      </c>
      <c r="H49" s="124"/>
      <c r="I49" s="124"/>
    </row>
    <row r="50" spans="1:9" ht="12.75" thickTop="1" thickBot="1" x14ac:dyDescent="0.25">
      <c r="A50" s="38" t="s">
        <v>884</v>
      </c>
      <c r="B50" s="48"/>
      <c r="C50" s="41">
        <f>SUM(C34:C49)</f>
        <v>376621.92</v>
      </c>
      <c r="D50" s="41">
        <f>SUM(D34:D49)</f>
        <v>0</v>
      </c>
      <c r="E50" s="41">
        <f>SUM(E34:E49)</f>
        <v>0</v>
      </c>
      <c r="F50" s="41">
        <f>SUM(F34:F49)</f>
        <v>0</v>
      </c>
      <c r="G50" s="41">
        <f>SUM(G34:G49)</f>
        <v>207172.96</v>
      </c>
      <c r="H50" s="124"/>
      <c r="I50" s="124"/>
    </row>
    <row r="51" spans="1:9" ht="12" thickTop="1" x14ac:dyDescent="0.2">
      <c r="A51" s="38" t="s">
        <v>885</v>
      </c>
      <c r="B51" s="2"/>
      <c r="C51" s="41">
        <f>C50+C31</f>
        <v>376621.92</v>
      </c>
      <c r="D51" s="41">
        <f>D50+D31</f>
        <v>0</v>
      </c>
      <c r="E51" s="41">
        <f>E50+E31</f>
        <v>0</v>
      </c>
      <c r="F51" s="41">
        <f>F50+F31</f>
        <v>0</v>
      </c>
      <c r="G51" s="41">
        <f>G50+G31</f>
        <v>207172.96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878487</v>
      </c>
      <c r="D56" s="95">
        <f>'DOE25'!G60</f>
        <v>0</v>
      </c>
      <c r="E56" s="95">
        <f>'DOE25'!H60</f>
        <v>0</v>
      </c>
      <c r="F56" s="95">
        <f>'DOE25'!I60</f>
        <v>0</v>
      </c>
      <c r="G56" s="95">
        <f>'DOE25'!J60</f>
        <v>0</v>
      </c>
      <c r="H56"/>
      <c r="I56"/>
    </row>
    <row r="57" spans="1:9" x14ac:dyDescent="0.2">
      <c r="A57" s="1" t="s">
        <v>164</v>
      </c>
      <c r="B57" s="6" t="s">
        <v>165</v>
      </c>
      <c r="C57" s="95">
        <f>'DOE25'!F79</f>
        <v>3523.3499999999995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11000.24</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3523.3499999999995</v>
      </c>
      <c r="D62" s="130">
        <f>SUM(D57:D61)</f>
        <v>0</v>
      </c>
      <c r="E62" s="130">
        <f>SUM(E57:E61)</f>
        <v>0</v>
      </c>
      <c r="F62" s="130">
        <f>SUM(F57:F61)</f>
        <v>0</v>
      </c>
      <c r="G62" s="130">
        <f>SUM(G57:G61)</f>
        <v>11000.24</v>
      </c>
      <c r="H62"/>
      <c r="I62"/>
    </row>
    <row r="63" spans="1:9" ht="12" thickTop="1" x14ac:dyDescent="0.2">
      <c r="A63" s="29" t="s">
        <v>175</v>
      </c>
      <c r="B63" s="6"/>
      <c r="C63" s="22">
        <f>C56+C62</f>
        <v>882010.35</v>
      </c>
      <c r="D63" s="22">
        <f>D56+D62</f>
        <v>0</v>
      </c>
      <c r="E63" s="22">
        <f>E56+E62</f>
        <v>0</v>
      </c>
      <c r="F63" s="22">
        <f>F56+F62</f>
        <v>0</v>
      </c>
      <c r="G63" s="22">
        <f>G56+G62</f>
        <v>11000.24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587357.52</v>
      </c>
      <c r="D66" s="24" t="s">
        <v>288</v>
      </c>
      <c r="E66" s="24" t="s">
        <v>288</v>
      </c>
      <c r="F66" s="24" t="s">
        <v>288</v>
      </c>
      <c r="G66" s="24" t="s">
        <v>288</v>
      </c>
      <c r="H66"/>
      <c r="I66"/>
    </row>
    <row r="67" spans="1:9" x14ac:dyDescent="0.2">
      <c r="A67" s="1" t="s">
        <v>770</v>
      </c>
      <c r="B67" s="6">
        <v>3112</v>
      </c>
      <c r="C67" s="95">
        <f>'DOE25'!F118</f>
        <v>111736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699093.52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6752.79</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6752.79</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705846.31</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6308.11</v>
      </c>
      <c r="D88" s="95">
        <f>SUM('DOE25'!G153:G161)</f>
        <v>0</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6308.11</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50000</v>
      </c>
    </row>
    <row r="104" spans="1:7" ht="12.75" thickTop="1" thickBot="1" x14ac:dyDescent="0.25">
      <c r="A104" s="33" t="s">
        <v>761</v>
      </c>
      <c r="C104" s="86">
        <f>C63+C81+C91+C103</f>
        <v>1594164.7700000003</v>
      </c>
      <c r="D104" s="86">
        <f>D63+D81+D91+D103</f>
        <v>0</v>
      </c>
      <c r="E104" s="86">
        <f>E63+E81+E91+E103</f>
        <v>0</v>
      </c>
      <c r="F104" s="86">
        <f>F63+F81+F91+F103</f>
        <v>0</v>
      </c>
      <c r="G104" s="86">
        <f>G63+G81+G103</f>
        <v>61000.24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813010.04</v>
      </c>
      <c r="D109" s="24" t="s">
        <v>288</v>
      </c>
      <c r="E109" s="95">
        <f>('DOE25'!L276)+('DOE25'!L295)+('DOE25'!L314)</f>
        <v>0</v>
      </c>
      <c r="F109" s="24" t="s">
        <v>288</v>
      </c>
      <c r="G109" s="24" t="s">
        <v>288</v>
      </c>
    </row>
    <row r="110" spans="1:7" x14ac:dyDescent="0.2">
      <c r="A110" t="s">
        <v>198</v>
      </c>
      <c r="B110" s="32" t="s">
        <v>199</v>
      </c>
      <c r="C110" s="95">
        <f>('DOE25'!L198)+('DOE25'!L216)+('DOE25'!L234)</f>
        <v>330894.47000000003</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1143904.51</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0</v>
      </c>
      <c r="D118" s="24" t="s">
        <v>288</v>
      </c>
      <c r="E118" s="95">
        <f>+('DOE25'!L281)+('DOE25'!L300)+('DOE25'!L319)</f>
        <v>0</v>
      </c>
      <c r="F118" s="24" t="s">
        <v>288</v>
      </c>
      <c r="G118" s="24" t="s">
        <v>288</v>
      </c>
    </row>
    <row r="119" spans="1:7" x14ac:dyDescent="0.2">
      <c r="A119" t="s">
        <v>208</v>
      </c>
      <c r="B119" s="32" t="s">
        <v>209</v>
      </c>
      <c r="C119" s="95">
        <f>('DOE25'!L203)+('DOE25'!L221)+('DOE25'!L239)</f>
        <v>0</v>
      </c>
      <c r="D119" s="24" t="s">
        <v>288</v>
      </c>
      <c r="E119" s="95">
        <f>+('DOE25'!L282)+('DOE25'!L301)+('DOE25'!L320)</f>
        <v>0</v>
      </c>
      <c r="F119" s="24" t="s">
        <v>288</v>
      </c>
      <c r="G119" s="24" t="s">
        <v>288</v>
      </c>
    </row>
    <row r="120" spans="1:7" x14ac:dyDescent="0.2">
      <c r="A120" t="s">
        <v>210</v>
      </c>
      <c r="B120" s="32" t="s">
        <v>211</v>
      </c>
      <c r="C120" s="95">
        <f>('DOE25'!L204)+('DOE25'!L222)+('DOE25'!L240)</f>
        <v>48304.369999999995</v>
      </c>
      <c r="D120" s="24" t="s">
        <v>288</v>
      </c>
      <c r="E120" s="95">
        <f>+('DOE25'!L283)+('DOE25'!L302)+('DOE25'!L321)</f>
        <v>0</v>
      </c>
      <c r="F120" s="24" t="s">
        <v>288</v>
      </c>
      <c r="G120" s="24" t="s">
        <v>288</v>
      </c>
    </row>
    <row r="121" spans="1:7" x14ac:dyDescent="0.2">
      <c r="A121" t="s">
        <v>212</v>
      </c>
      <c r="B121" s="32" t="s">
        <v>213</v>
      </c>
      <c r="C121" s="95">
        <f>('DOE25'!L205)+('DOE25'!L223)+('DOE25'!L241)</f>
        <v>0</v>
      </c>
      <c r="D121" s="24" t="s">
        <v>288</v>
      </c>
      <c r="E121" s="95">
        <f>+('DOE25'!L284)+('DOE25'!L303)+('DOE25'!L322)</f>
        <v>0</v>
      </c>
      <c r="F121" s="24" t="s">
        <v>288</v>
      </c>
      <c r="G121" s="24" t="s">
        <v>288</v>
      </c>
    </row>
    <row r="122" spans="1:7" x14ac:dyDescent="0.2">
      <c r="A122" t="s">
        <v>214</v>
      </c>
      <c r="B122" s="32" t="s">
        <v>215</v>
      </c>
      <c r="C122" s="95">
        <f>('DOE25'!L206)+('DOE25'!L224)+('DOE25'!L242)</f>
        <v>374.47999999999996</v>
      </c>
      <c r="D122" s="24" t="s">
        <v>288</v>
      </c>
      <c r="E122" s="95">
        <f>+('DOE25'!L285)+('DOE25'!L304)+('DOE25'!L323)</f>
        <v>0</v>
      </c>
      <c r="F122" s="24" t="s">
        <v>288</v>
      </c>
      <c r="G122" s="24" t="s">
        <v>288</v>
      </c>
    </row>
    <row r="123" spans="1:7" x14ac:dyDescent="0.2">
      <c r="A123" t="s">
        <v>216</v>
      </c>
      <c r="B123" s="32" t="s">
        <v>217</v>
      </c>
      <c r="C123" s="95">
        <f>('DOE25'!L207)+('DOE25'!L225)+('DOE25'!L243)</f>
        <v>0</v>
      </c>
      <c r="D123" s="24" t="s">
        <v>288</v>
      </c>
      <c r="E123" s="95">
        <f>+('DOE25'!L286)+('DOE25'!L305)+('DOE25'!L324)</f>
        <v>0</v>
      </c>
      <c r="F123" s="24" t="s">
        <v>288</v>
      </c>
      <c r="G123" s="24" t="s">
        <v>288</v>
      </c>
    </row>
    <row r="124" spans="1:7" x14ac:dyDescent="0.2">
      <c r="A124" t="s">
        <v>218</v>
      </c>
      <c r="B124" s="32" t="s">
        <v>219</v>
      </c>
      <c r="C124" s="95">
        <f>('DOE25'!L208)+('DOE25'!L226)+('DOE25'!L244+'DOE25'!L254)</f>
        <v>152848.59999999998</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0</v>
      </c>
      <c r="E127" s="24" t="s">
        <v>288</v>
      </c>
      <c r="F127" s="24" t="s">
        <v>288</v>
      </c>
      <c r="G127" s="24" t="s">
        <v>288</v>
      </c>
    </row>
    <row r="128" spans="1:7" ht="12.75" thickTop="1" thickBot="1" x14ac:dyDescent="0.25">
      <c r="A128" s="33" t="s">
        <v>226</v>
      </c>
      <c r="C128" s="86">
        <f>SUM(C118:C127)</f>
        <v>201527.44999999998</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61000.24</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-11000.239999999998</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50000</v>
      </c>
      <c r="D144" s="141">
        <f>SUM(D130:D143)</f>
        <v>0</v>
      </c>
      <c r="E144" s="141">
        <f>SUM(E130:E143)</f>
        <v>0</v>
      </c>
      <c r="F144" s="141">
        <f>SUM(F130:F143)</f>
        <v>0</v>
      </c>
      <c r="G144" s="141">
        <f>SUM(G130:G143)</f>
        <v>0</v>
      </c>
    </row>
    <row r="145" spans="1:9" ht="12.75" thickTop="1" thickBot="1" x14ac:dyDescent="0.25">
      <c r="A145" s="33" t="s">
        <v>244</v>
      </c>
      <c r="C145" s="86">
        <f>(C115+C128+C144)</f>
        <v>1395431.96</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ColWidth="8.6640625" defaultRowHeight="11.25" x14ac:dyDescent="0.2"/>
  <cols>
    <col min="1" max="1" width="14.1640625" customWidth="1"/>
    <col min="2" max="2" width="49" bestFit="1" customWidth="1"/>
    <col min="3" max="3" width="12.1640625" bestFit="1" customWidth="1"/>
    <col min="4" max="4" width="10.1640625" customWidth="1"/>
  </cols>
  <sheetData>
    <row r="1" spans="1:4" ht="18" x14ac:dyDescent="0.25">
      <c r="A1" s="330" t="s">
        <v>736</v>
      </c>
      <c r="B1" s="330"/>
      <c r="C1" s="330"/>
      <c r="D1" s="330"/>
    </row>
    <row r="2" spans="1:4" x14ac:dyDescent="0.2">
      <c r="A2" s="187" t="s">
        <v>713</v>
      </c>
      <c r="B2" s="186" t="str">
        <f>'DOE25'!A2</f>
        <v>SULLIVAN SCHOOL DISTRICT SAU 96</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0</v>
      </c>
    </row>
    <row r="9" spans="1:4" x14ac:dyDescent="0.2">
      <c r="A9" s="187" t="s">
        <v>94</v>
      </c>
      <c r="B9" s="188" t="s">
        <v>1603</v>
      </c>
      <c r="C9" s="181" t="s">
        <v>720</v>
      </c>
      <c r="D9" s="181" t="s">
        <v>721</v>
      </c>
    </row>
    <row r="10" spans="1:4" x14ac:dyDescent="0.2">
      <c r="A10">
        <v>1100</v>
      </c>
      <c r="B10" t="s">
        <v>702</v>
      </c>
      <c r="C10" s="179">
        <f>ROUND('DOE25'!L197+'DOE25'!L215+'DOE25'!L233+'DOE25'!L276+'DOE25'!L295+'DOE25'!L314,0)</f>
        <v>813010</v>
      </c>
      <c r="D10" s="182">
        <f>ROUND((C10/$C$28)*100,1)</f>
        <v>60.4</v>
      </c>
    </row>
    <row r="11" spans="1:4" x14ac:dyDescent="0.2">
      <c r="A11">
        <v>1200</v>
      </c>
      <c r="B11" t="s">
        <v>703</v>
      </c>
      <c r="C11" s="179">
        <f>ROUND('DOE25'!L198+'DOE25'!L216+'DOE25'!L234+'DOE25'!L277+'DOE25'!L296+'DOE25'!L315,0)</f>
        <v>330894</v>
      </c>
      <c r="D11" s="182">
        <f>ROUND((C11/$C$28)*100,1)</f>
        <v>24.6</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0</v>
      </c>
      <c r="D15" s="182">
        <f t="shared" ref="D15:D27" si="0">ROUND((C15/$C$28)*100,1)</f>
        <v>0</v>
      </c>
    </row>
    <row r="16" spans="1:4" x14ac:dyDescent="0.2">
      <c r="A16">
        <v>2200</v>
      </c>
      <c r="B16" t="s">
        <v>707</v>
      </c>
      <c r="C16" s="179">
        <f>ROUND('DOE25'!L203+'DOE25'!L221+'DOE25'!L239+'DOE25'!L282+'DOE25'!L301+'DOE25'!L320,0)</f>
        <v>0</v>
      </c>
      <c r="D16" s="182">
        <f t="shared" si="0"/>
        <v>0</v>
      </c>
    </row>
    <row r="17" spans="1:4" x14ac:dyDescent="0.2">
      <c r="A17" s="183" t="s">
        <v>723</v>
      </c>
      <c r="B17" t="s">
        <v>738</v>
      </c>
      <c r="C17" s="179">
        <f>ROUND('DOE25'!L204+'DOE25'!L209+'DOE25'!L222+'DOE25'!L227+'DOE25'!L240+'DOE25'!L245+'DOE25'!L283+'DOE25'!L288+'DOE25'!L302+'DOE25'!L307+'DOE25'!L321+'DOE25'!L326,0)</f>
        <v>48304</v>
      </c>
      <c r="D17" s="182">
        <f t="shared" si="0"/>
        <v>3.6</v>
      </c>
    </row>
    <row r="18" spans="1:4" x14ac:dyDescent="0.2">
      <c r="A18">
        <v>2400</v>
      </c>
      <c r="B18" t="s">
        <v>711</v>
      </c>
      <c r="C18" s="179">
        <f>ROUND('DOE25'!L205+'DOE25'!L223+'DOE25'!L241+'DOE25'!L284+'DOE25'!L303+'DOE25'!L322,0)</f>
        <v>0</v>
      </c>
      <c r="D18" s="182">
        <f t="shared" si="0"/>
        <v>0</v>
      </c>
    </row>
    <row r="19" spans="1:4" x14ac:dyDescent="0.2">
      <c r="A19">
        <v>2500</v>
      </c>
      <c r="B19" t="s">
        <v>708</v>
      </c>
      <c r="C19" s="179">
        <f>ROUND('DOE25'!L206+'DOE25'!L224+'DOE25'!L242+'DOE25'!L285+'DOE25'!L304+'DOE25'!L323,0)</f>
        <v>374</v>
      </c>
      <c r="D19" s="182">
        <f t="shared" si="0"/>
        <v>0</v>
      </c>
    </row>
    <row r="20" spans="1:4" x14ac:dyDescent="0.2">
      <c r="A20">
        <v>2600</v>
      </c>
      <c r="B20" t="s">
        <v>709</v>
      </c>
      <c r="C20" s="179">
        <f>ROUND('DOE25'!L207+'DOE25'!L225+'DOE25'!L243+'DOE25'!L286+'DOE25'!L305+'DOE25'!L324,0)</f>
        <v>0</v>
      </c>
      <c r="D20" s="182">
        <f t="shared" si="0"/>
        <v>0</v>
      </c>
    </row>
    <row r="21" spans="1:4" x14ac:dyDescent="0.2">
      <c r="A21">
        <v>2700</v>
      </c>
      <c r="B21" t="s">
        <v>710</v>
      </c>
      <c r="C21" s="179">
        <f>ROUND('DOE25'!L208+'DOE25'!L226+'DOE25'!L244+'DOE25'!L287+'DOE25'!L306+'DOE25'!L325,0)</f>
        <v>152849</v>
      </c>
      <c r="D21" s="182">
        <f t="shared" si="0"/>
        <v>11.4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0</v>
      </c>
      <c r="D27" s="182">
        <f t="shared" si="0"/>
        <v>0</v>
      </c>
    </row>
    <row r="28" spans="1:4" x14ac:dyDescent="0.2">
      <c r="B28" s="187" t="s">
        <v>719</v>
      </c>
      <c r="C28" s="180">
        <f>SUM(C10:C27)</f>
        <v>1345431</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1345431</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878487</v>
      </c>
      <c r="D35" s="182">
        <f t="shared" ref="D35:D40" si="1">ROUND((C35/$C$41)*100,1)</f>
        <v>54.7</v>
      </c>
    </row>
    <row r="36" spans="1:4" x14ac:dyDescent="0.2">
      <c r="B36" s="185" t="s">
        <v>739</v>
      </c>
      <c r="C36" s="179">
        <f>SUM('DOE25'!F112:J112)-SUM('DOE25'!G97:G110)+('DOE25'!F174+'DOE25'!F175+'DOE25'!I174+'DOE25'!I175)-C35</f>
        <v>14523.589999999967</v>
      </c>
      <c r="D36" s="182">
        <f t="shared" si="1"/>
        <v>0.9</v>
      </c>
    </row>
    <row r="37" spans="1:4" x14ac:dyDescent="0.2">
      <c r="A37" s="183" t="s">
        <v>835</v>
      </c>
      <c r="B37" s="185" t="s">
        <v>728</v>
      </c>
      <c r="C37" s="179">
        <f>ROUND('DOE25'!F117+'DOE25'!F118,0)</f>
        <v>699094</v>
      </c>
      <c r="D37" s="182">
        <f t="shared" si="1"/>
        <v>43.6</v>
      </c>
    </row>
    <row r="38" spans="1:4" x14ac:dyDescent="0.2">
      <c r="A38" s="183" t="s">
        <v>734</v>
      </c>
      <c r="B38" s="185" t="s">
        <v>729</v>
      </c>
      <c r="C38" s="179">
        <f>ROUND(SUM('DOE25'!F140:J140)-SUM('DOE25'!F117:F119),0)</f>
        <v>6753</v>
      </c>
      <c r="D38" s="182">
        <f t="shared" si="1"/>
        <v>0.4</v>
      </c>
    </row>
    <row r="39" spans="1:4" x14ac:dyDescent="0.2">
      <c r="A39">
        <v>4000</v>
      </c>
      <c r="B39" s="185" t="s">
        <v>730</v>
      </c>
      <c r="C39" s="179">
        <f>ROUND('DOE25'!F169+'DOE25'!G169+'DOE25'!H169+'DOE25'!I169,0)</f>
        <v>6308</v>
      </c>
      <c r="D39" s="182">
        <f t="shared" si="1"/>
        <v>0.4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1605165.5899999999</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ColWidth="8.6640625" defaultRowHeight="11.25" x14ac:dyDescent="0.2"/>
  <cols>
    <col min="1" max="1" width="10.16406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SULLIVAN SCHOOL DISTRICT SAU 96</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2019-10-31T16:57:12Z</cp:lastPrinted>
  <dcterms:created xsi:type="dcterms:W3CDTF">1997-12-04T19:04:30Z</dcterms:created>
  <dcterms:modified xsi:type="dcterms:W3CDTF">2019-10-31T16:57:16Z</dcterms:modified>
</cp:coreProperties>
</file>