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233" i="1" l="1"/>
  <c r="F465" i="1" l="1"/>
  <c r="H523" i="1" l="1"/>
  <c r="H522" i="1"/>
  <c r="H521" i="1"/>
  <c r="J591" i="1" l="1"/>
  <c r="I591" i="1"/>
  <c r="H591" i="1"/>
  <c r="B19" i="12" l="1"/>
  <c r="B20" i="12"/>
  <c r="B21" i="12"/>
  <c r="B10" i="12"/>
  <c r="B11" i="12"/>
  <c r="B12" i="12"/>
  <c r="B37" i="12"/>
  <c r="B39" i="12"/>
  <c r="G244" i="1"/>
  <c r="G240" i="1"/>
  <c r="G239" i="1"/>
  <c r="G226" i="1"/>
  <c r="G222" i="1"/>
  <c r="G221" i="1"/>
  <c r="G208" i="1"/>
  <c r="G204" i="1"/>
  <c r="G203" i="1"/>
  <c r="F523" i="1"/>
  <c r="J604" i="1"/>
  <c r="I604" i="1"/>
  <c r="H604" i="1"/>
  <c r="I244" i="1"/>
  <c r="H244" i="1"/>
  <c r="J243" i="1"/>
  <c r="H243" i="1"/>
  <c r="I240" i="1"/>
  <c r="J239" i="1"/>
  <c r="H239" i="1"/>
  <c r="H238" i="1"/>
  <c r="J233" i="1"/>
  <c r="I233" i="1"/>
  <c r="I226" i="1"/>
  <c r="H226" i="1"/>
  <c r="J225" i="1"/>
  <c r="H225" i="1"/>
  <c r="I222" i="1"/>
  <c r="J221" i="1"/>
  <c r="H221" i="1"/>
  <c r="H220" i="1"/>
  <c r="I215" i="1"/>
  <c r="I208" i="1"/>
  <c r="H208" i="1"/>
  <c r="H207" i="1"/>
  <c r="I204" i="1"/>
  <c r="H203" i="1"/>
  <c r="H202" i="1"/>
  <c r="J197" i="1"/>
  <c r="J523" i="1" l="1"/>
  <c r="I523" i="1"/>
  <c r="J522" i="1"/>
  <c r="I522" i="1"/>
  <c r="K521" i="1"/>
  <c r="J521" i="1"/>
  <c r="I521" i="1"/>
  <c r="F522" i="1"/>
  <c r="F521" i="1"/>
  <c r="F12" i="1" l="1"/>
  <c r="I320" i="1" l="1"/>
  <c r="F276"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L224" i="1"/>
  <c r="L242" i="1"/>
  <c r="G16" i="13"/>
  <c r="H16" i="13"/>
  <c r="L209" i="1"/>
  <c r="L227" i="1"/>
  <c r="L245" i="1"/>
  <c r="G5" i="13"/>
  <c r="H5" i="13"/>
  <c r="L197" i="1"/>
  <c r="L198" i="1"/>
  <c r="L199" i="1"/>
  <c r="L200" i="1"/>
  <c r="L215" i="1"/>
  <c r="L216" i="1"/>
  <c r="L217" i="1"/>
  <c r="L218" i="1"/>
  <c r="L233" i="1"/>
  <c r="L234" i="1"/>
  <c r="L235" i="1"/>
  <c r="C111" i="2" s="1"/>
  <c r="L236" i="1"/>
  <c r="G6" i="13"/>
  <c r="H6" i="13"/>
  <c r="L202" i="1"/>
  <c r="L220" i="1"/>
  <c r="L238" i="1"/>
  <c r="G7" i="13"/>
  <c r="H7" i="13"/>
  <c r="L203" i="1"/>
  <c r="L221" i="1"/>
  <c r="L239" i="1"/>
  <c r="G12" i="13"/>
  <c r="H12" i="13"/>
  <c r="L205" i="1"/>
  <c r="L223" i="1"/>
  <c r="L241" i="1"/>
  <c r="G14" i="13"/>
  <c r="H14" i="13"/>
  <c r="L207" i="1"/>
  <c r="L225" i="1"/>
  <c r="L243" i="1"/>
  <c r="G15" i="13"/>
  <c r="H15" i="13"/>
  <c r="L208" i="1"/>
  <c r="L226" i="1"/>
  <c r="G650" i="1" s="1"/>
  <c r="L244" i="1"/>
  <c r="G651" i="1" s="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3" i="1" s="1"/>
  <c r="C138" i="2" s="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I60" i="1"/>
  <c r="F79" i="1"/>
  <c r="C57" i="2" s="1"/>
  <c r="F94" i="1"/>
  <c r="F111" i="1"/>
  <c r="G111" i="1"/>
  <c r="G112" i="1" s="1"/>
  <c r="H79" i="1"/>
  <c r="E57" i="2" s="1"/>
  <c r="H94" i="1"/>
  <c r="H111" i="1"/>
  <c r="I111" i="1"/>
  <c r="I112" i="1" s="1"/>
  <c r="J111" i="1"/>
  <c r="J112" i="1" s="1"/>
  <c r="F121" i="1"/>
  <c r="F136" i="1"/>
  <c r="G121" i="1"/>
  <c r="G136" i="1"/>
  <c r="H121" i="1"/>
  <c r="H136" i="1"/>
  <c r="I121" i="1"/>
  <c r="I136" i="1"/>
  <c r="J121" i="1"/>
  <c r="J136" i="1"/>
  <c r="F147" i="1"/>
  <c r="F162" i="1"/>
  <c r="G147" i="1"/>
  <c r="G162" i="1"/>
  <c r="H147" i="1"/>
  <c r="H162" i="1"/>
  <c r="H169" i="1" s="1"/>
  <c r="I147" i="1"/>
  <c r="I162" i="1"/>
  <c r="L250" i="1"/>
  <c r="C113" i="2" s="1"/>
  <c r="L332" i="1"/>
  <c r="E113" i="2" s="1"/>
  <c r="L254" i="1"/>
  <c r="L268" i="1"/>
  <c r="L269" i="1"/>
  <c r="L349" i="1"/>
  <c r="E142" i="2" s="1"/>
  <c r="L350" i="1"/>
  <c r="I665" i="1"/>
  <c r="I670" i="1"/>
  <c r="I669" i="1"/>
  <c r="C42" i="10"/>
  <c r="C32" i="10"/>
  <c r="L374" i="1"/>
  <c r="L375" i="1"/>
  <c r="L376" i="1"/>
  <c r="L377" i="1"/>
  <c r="L378" i="1"/>
  <c r="L379" i="1"/>
  <c r="L380" i="1"/>
  <c r="B2" i="10"/>
  <c r="L344" i="1"/>
  <c r="L345" i="1"/>
  <c r="E135" i="2" s="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I552"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F18" i="2" s="1"/>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C58" i="2"/>
  <c r="E58" i="2"/>
  <c r="C59" i="2"/>
  <c r="D59" i="2"/>
  <c r="E59" i="2"/>
  <c r="F59" i="2"/>
  <c r="D60" i="2"/>
  <c r="C61" i="2"/>
  <c r="D61" i="2"/>
  <c r="E61" i="2"/>
  <c r="F61" i="2"/>
  <c r="C66" i="2"/>
  <c r="C67" i="2"/>
  <c r="C69" i="2"/>
  <c r="C70" i="2" s="1"/>
  <c r="D69" i="2"/>
  <c r="D70" i="2" s="1"/>
  <c r="E69" i="2"/>
  <c r="E70" i="2" s="1"/>
  <c r="F69" i="2"/>
  <c r="F70" i="2" s="1"/>
  <c r="G69" i="2"/>
  <c r="G70" i="2" s="1"/>
  <c r="C72" i="2"/>
  <c r="F72" i="2"/>
  <c r="C73" i="2"/>
  <c r="F73" i="2"/>
  <c r="F78" i="2" s="1"/>
  <c r="F81" i="2" s="1"/>
  <c r="C74" i="2"/>
  <c r="C75" i="2"/>
  <c r="C76" i="2"/>
  <c r="E76" i="2"/>
  <c r="E78" i="2" s="1"/>
  <c r="E81" i="2" s="1"/>
  <c r="F76" i="2"/>
  <c r="C77" i="2"/>
  <c r="D77" i="2"/>
  <c r="D78" i="2" s="1"/>
  <c r="E77" i="2"/>
  <c r="F77" i="2"/>
  <c r="G77" i="2"/>
  <c r="G78" i="2" s="1"/>
  <c r="C79" i="2"/>
  <c r="D79" i="2"/>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4" i="2"/>
  <c r="C125" i="2"/>
  <c r="E125" i="2"/>
  <c r="F128" i="2"/>
  <c r="G128" i="2"/>
  <c r="C130" i="2"/>
  <c r="D134" i="2"/>
  <c r="D144" i="2" s="1"/>
  <c r="E134" i="2"/>
  <c r="F134" i="2"/>
  <c r="K419" i="1"/>
  <c r="K427" i="1"/>
  <c r="K433" i="1"/>
  <c r="L263" i="1"/>
  <c r="C135" i="2" s="1"/>
  <c r="L264" i="1"/>
  <c r="C136" i="2" s="1"/>
  <c r="L265" i="1"/>
  <c r="C137" i="2" s="1"/>
  <c r="E137"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F177" i="1"/>
  <c r="I177" i="1"/>
  <c r="F183" i="1"/>
  <c r="F192" i="1" s="1"/>
  <c r="G183" i="1"/>
  <c r="H183" i="1"/>
  <c r="I183" i="1"/>
  <c r="J183" i="1"/>
  <c r="J192" i="1" s="1"/>
  <c r="F188" i="1"/>
  <c r="G188" i="1"/>
  <c r="H188" i="1"/>
  <c r="H192" i="1" s="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H643" i="1" s="1"/>
  <c r="J643"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G452" i="1"/>
  <c r="G461" i="1" s="1"/>
  <c r="H640" i="1" s="1"/>
  <c r="H452" i="1"/>
  <c r="F460" i="1"/>
  <c r="G460" i="1"/>
  <c r="H460" i="1"/>
  <c r="F470" i="1"/>
  <c r="G470" i="1"/>
  <c r="H470" i="1"/>
  <c r="I470" i="1"/>
  <c r="J470" i="1"/>
  <c r="G474" i="1"/>
  <c r="H474" i="1"/>
  <c r="I474" i="1"/>
  <c r="J474" i="1"/>
  <c r="K495" i="1"/>
  <c r="K496" i="1"/>
  <c r="K497" i="1"/>
  <c r="K498" i="1"/>
  <c r="K499" i="1"/>
  <c r="K501" i="1"/>
  <c r="K502" i="1"/>
  <c r="F517" i="1"/>
  <c r="G517" i="1"/>
  <c r="H517" i="1"/>
  <c r="I517" i="1"/>
  <c r="F524" i="1"/>
  <c r="G524" i="1"/>
  <c r="H524" i="1"/>
  <c r="I524" i="1"/>
  <c r="J524" i="1"/>
  <c r="K524" i="1"/>
  <c r="K545" i="1" s="1"/>
  <c r="F529" i="1"/>
  <c r="G529" i="1"/>
  <c r="H529" i="1"/>
  <c r="I529" i="1"/>
  <c r="J529" i="1"/>
  <c r="K529" i="1"/>
  <c r="F534" i="1"/>
  <c r="G534" i="1"/>
  <c r="H534" i="1"/>
  <c r="I534" i="1"/>
  <c r="J534" i="1"/>
  <c r="J545" i="1" s="1"/>
  <c r="K534" i="1"/>
  <c r="F539" i="1"/>
  <c r="G539" i="1"/>
  <c r="H539" i="1"/>
  <c r="I539" i="1"/>
  <c r="J539" i="1"/>
  <c r="K539" i="1"/>
  <c r="F544" i="1"/>
  <c r="G544" i="1"/>
  <c r="H544" i="1"/>
  <c r="I544" i="1"/>
  <c r="J544" i="1"/>
  <c r="K544" i="1"/>
  <c r="L557" i="1"/>
  <c r="L558" i="1"/>
  <c r="L560" i="1" s="1"/>
  <c r="L559" i="1"/>
  <c r="F560" i="1"/>
  <c r="G560" i="1"/>
  <c r="H560" i="1"/>
  <c r="H571" i="1" s="1"/>
  <c r="I560" i="1"/>
  <c r="J560" i="1"/>
  <c r="K560" i="1"/>
  <c r="L562" i="1"/>
  <c r="L565" i="1" s="1"/>
  <c r="L563" i="1"/>
  <c r="L564" i="1"/>
  <c r="F565" i="1"/>
  <c r="G565" i="1"/>
  <c r="H565" i="1"/>
  <c r="I565" i="1"/>
  <c r="J565" i="1"/>
  <c r="K565" i="1"/>
  <c r="K571" i="1" s="1"/>
  <c r="L567" i="1"/>
  <c r="L568" i="1"/>
  <c r="L569" i="1"/>
  <c r="F570" i="1"/>
  <c r="F571" i="1" s="1"/>
  <c r="G570" i="1"/>
  <c r="H570" i="1"/>
  <c r="I570" i="1"/>
  <c r="J570" i="1"/>
  <c r="J571" i="1" s="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2" i="1"/>
  <c r="G623" i="1"/>
  <c r="G624" i="1"/>
  <c r="G625" i="1"/>
  <c r="H627" i="1"/>
  <c r="H628" i="1"/>
  <c r="H629" i="1"/>
  <c r="H630" i="1"/>
  <c r="H631" i="1"/>
  <c r="H633" i="1"/>
  <c r="H635" i="1"/>
  <c r="H636" i="1"/>
  <c r="H637" i="1"/>
  <c r="H638" i="1"/>
  <c r="G643" i="1"/>
  <c r="G644" i="1"/>
  <c r="G652" i="1"/>
  <c r="H652" i="1"/>
  <c r="G653" i="1"/>
  <c r="H653" i="1"/>
  <c r="G654" i="1"/>
  <c r="H654" i="1"/>
  <c r="H655" i="1"/>
  <c r="J655" i="1" s="1"/>
  <c r="G164" i="2"/>
  <c r="C78" i="2"/>
  <c r="D50" i="2"/>
  <c r="E103" i="2"/>
  <c r="G62" i="2"/>
  <c r="C13" i="13"/>
  <c r="I169" i="1"/>
  <c r="I476" i="1"/>
  <c r="H625" i="1" s="1"/>
  <c r="J625" i="1" s="1"/>
  <c r="G338" i="1"/>
  <c r="G352" i="1" s="1"/>
  <c r="F169" i="1"/>
  <c r="J140" i="1"/>
  <c r="H140" i="1"/>
  <c r="G22" i="13"/>
  <c r="C22" i="13" s="1"/>
  <c r="G192" i="1"/>
  <c r="L570" i="1"/>
  <c r="I571" i="1"/>
  <c r="G36" i="2"/>
  <c r="G645" i="1" l="1"/>
  <c r="L529" i="1"/>
  <c r="I408" i="1"/>
  <c r="L256" i="1"/>
  <c r="G161" i="2"/>
  <c r="G157" i="2"/>
  <c r="G156" i="2"/>
  <c r="C91" i="2"/>
  <c r="E62" i="2"/>
  <c r="E63" i="2" s="1"/>
  <c r="E118" i="2"/>
  <c r="L534" i="1"/>
  <c r="I545" i="1"/>
  <c r="K503" i="1"/>
  <c r="L433" i="1"/>
  <c r="L427" i="1"/>
  <c r="J552" i="1"/>
  <c r="L351" i="1"/>
  <c r="F130" i="2"/>
  <c r="F144" i="2" s="1"/>
  <c r="F145" i="2" s="1"/>
  <c r="C26" i="10"/>
  <c r="E122" i="2"/>
  <c r="H461" i="1"/>
  <c r="H641" i="1" s="1"/>
  <c r="J641" i="1" s="1"/>
  <c r="I52" i="1"/>
  <c r="H620" i="1" s="1"/>
  <c r="E31" i="2"/>
  <c r="E109" i="2"/>
  <c r="C35" i="10"/>
  <c r="H112" i="1"/>
  <c r="K605" i="1"/>
  <c r="G648" i="1" s="1"/>
  <c r="L539" i="1"/>
  <c r="J476" i="1"/>
  <c r="H626" i="1" s="1"/>
  <c r="I460" i="1"/>
  <c r="D81" i="2"/>
  <c r="L270" i="1"/>
  <c r="C25" i="10"/>
  <c r="C19" i="10"/>
  <c r="L401" i="1"/>
  <c r="C139" i="2" s="1"/>
  <c r="D19" i="13"/>
  <c r="C19" i="13" s="1"/>
  <c r="K551" i="1"/>
  <c r="C29" i="10"/>
  <c r="L544" i="1"/>
  <c r="G408" i="1"/>
  <c r="H645" i="1" s="1"/>
  <c r="L382" i="1"/>
  <c r="G636" i="1" s="1"/>
  <c r="J636" i="1" s="1"/>
  <c r="C142" i="2"/>
  <c r="G81" i="2"/>
  <c r="I25" i="13"/>
  <c r="K500" i="1"/>
  <c r="C122" i="2"/>
  <c r="C114" i="2"/>
  <c r="D62" i="2"/>
  <c r="D63" i="2" s="1"/>
  <c r="E123" i="2"/>
  <c r="L309" i="1"/>
  <c r="D17" i="13"/>
  <c r="C17" i="13" s="1"/>
  <c r="E16" i="13"/>
  <c r="L614" i="1"/>
  <c r="H552" i="1"/>
  <c r="G545" i="1"/>
  <c r="K550" i="1"/>
  <c r="H545" i="1"/>
  <c r="G552" i="1"/>
  <c r="K549" i="1"/>
  <c r="A40" i="12"/>
  <c r="G662" i="1"/>
  <c r="A13" i="12"/>
  <c r="K598" i="1"/>
  <c r="G647" i="1" s="1"/>
  <c r="J651" i="1"/>
  <c r="F552" i="1"/>
  <c r="L524" i="1"/>
  <c r="J645" i="1"/>
  <c r="D15" i="13"/>
  <c r="C15" i="13" s="1"/>
  <c r="K257" i="1"/>
  <c r="K271" i="1" s="1"/>
  <c r="H662" i="1"/>
  <c r="J257" i="1"/>
  <c r="J271" i="1" s="1"/>
  <c r="I257" i="1"/>
  <c r="I271" i="1" s="1"/>
  <c r="C118" i="2"/>
  <c r="C112" i="2"/>
  <c r="H647" i="1"/>
  <c r="C12" i="10"/>
  <c r="H257" i="1"/>
  <c r="H271" i="1" s="1"/>
  <c r="G257" i="1"/>
  <c r="G271" i="1" s="1"/>
  <c r="F662" i="1"/>
  <c r="C124" i="2"/>
  <c r="C21" i="10"/>
  <c r="G649" i="1"/>
  <c r="J649" i="1" s="1"/>
  <c r="D14" i="13"/>
  <c r="C14" i="13" s="1"/>
  <c r="D12" i="13"/>
  <c r="C12" i="13" s="1"/>
  <c r="C121" i="2"/>
  <c r="E8" i="13"/>
  <c r="E33" i="13" s="1"/>
  <c r="D35" i="13" s="1"/>
  <c r="D7" i="13"/>
  <c r="C7" i="13" s="1"/>
  <c r="C15" i="10"/>
  <c r="D6" i="13"/>
  <c r="C6" i="13" s="1"/>
  <c r="C13" i="10"/>
  <c r="C110" i="2"/>
  <c r="L247" i="1"/>
  <c r="F257" i="1"/>
  <c r="F271" i="1" s="1"/>
  <c r="C123" i="2"/>
  <c r="C17" i="10"/>
  <c r="C119" i="2"/>
  <c r="C18" i="10"/>
  <c r="C120" i="2"/>
  <c r="L211" i="1"/>
  <c r="D5" i="13"/>
  <c r="C5" i="13" s="1"/>
  <c r="C81" i="2"/>
  <c r="F112" i="1"/>
  <c r="C36" i="10" s="1"/>
  <c r="C62" i="2"/>
  <c r="C63" i="2" s="1"/>
  <c r="J617" i="1"/>
  <c r="C18" i="2"/>
  <c r="L419" i="1"/>
  <c r="F461" i="1"/>
  <c r="H639" i="1" s="1"/>
  <c r="J639" i="1" s="1"/>
  <c r="I452" i="1"/>
  <c r="J640" i="1"/>
  <c r="H476" i="1"/>
  <c r="H624" i="1" s="1"/>
  <c r="J624" i="1" s="1"/>
  <c r="C20" i="10"/>
  <c r="E119" i="2"/>
  <c r="E128" i="2" s="1"/>
  <c r="J338" i="1"/>
  <c r="J352" i="1" s="1"/>
  <c r="H338" i="1"/>
  <c r="H352" i="1" s="1"/>
  <c r="C11" i="10"/>
  <c r="E110" i="2"/>
  <c r="E115" i="2" s="1"/>
  <c r="F338" i="1"/>
  <c r="F352" i="1" s="1"/>
  <c r="L328" i="1"/>
  <c r="C16" i="10"/>
  <c r="L290" i="1"/>
  <c r="H52" i="1"/>
  <c r="H619" i="1" s="1"/>
  <c r="J619" i="1" s="1"/>
  <c r="I446" i="1"/>
  <c r="G642" i="1" s="1"/>
  <c r="H408" i="1"/>
  <c r="H644" i="1" s="1"/>
  <c r="J644" i="1" s="1"/>
  <c r="G476" i="1"/>
  <c r="H623" i="1" s="1"/>
  <c r="J623" i="1" s="1"/>
  <c r="F661" i="1"/>
  <c r="D127" i="2"/>
  <c r="D128" i="2" s="1"/>
  <c r="D145" i="2" s="1"/>
  <c r="I369" i="1"/>
  <c r="H634" i="1" s="1"/>
  <c r="J634" i="1" s="1"/>
  <c r="L362" i="1"/>
  <c r="G635" i="1" s="1"/>
  <c r="J635" i="1" s="1"/>
  <c r="D29" i="13"/>
  <c r="C29" i="13" s="1"/>
  <c r="H661" i="1"/>
  <c r="G661" i="1"/>
  <c r="D18" i="2"/>
  <c r="C10" i="10"/>
  <c r="C109" i="2"/>
  <c r="L229" i="1"/>
  <c r="C16" i="13"/>
  <c r="L337" i="1"/>
  <c r="F62" i="2"/>
  <c r="F63" i="2" s="1"/>
  <c r="F104"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L571" i="1"/>
  <c r="I192" i="1"/>
  <c r="E91" i="2"/>
  <c r="E104" i="2" s="1"/>
  <c r="D51" i="2"/>
  <c r="J654" i="1"/>
  <c r="J653" i="1"/>
  <c r="G21" i="2"/>
  <c r="G31" i="2" s="1"/>
  <c r="J32" i="1"/>
  <c r="J434" i="1"/>
  <c r="F434" i="1"/>
  <c r="K434" i="1"/>
  <c r="G134" i="2" s="1"/>
  <c r="G144" i="2" s="1"/>
  <c r="G145" i="2" s="1"/>
  <c r="G31" i="13"/>
  <c r="G33" i="13" s="1"/>
  <c r="J193" i="1"/>
  <c r="G646" i="1" s="1"/>
  <c r="H193" i="1"/>
  <c r="G629" i="1" s="1"/>
  <c r="J629" i="1" s="1"/>
  <c r="G169" i="1"/>
  <c r="C39" i="10" s="1"/>
  <c r="G140" i="1"/>
  <c r="F140" i="1"/>
  <c r="G63" i="2"/>
  <c r="J618" i="1"/>
  <c r="G42" i="2"/>
  <c r="G50" i="2" s="1"/>
  <c r="J51" i="1"/>
  <c r="G16" i="2"/>
  <c r="G18" i="2" s="1"/>
  <c r="J19" i="1"/>
  <c r="G621" i="1" s="1"/>
  <c r="F545" i="1"/>
  <c r="H434" i="1"/>
  <c r="J620" i="1"/>
  <c r="D103" i="2"/>
  <c r="I140" i="1"/>
  <c r="I193" i="1" s="1"/>
  <c r="G630" i="1" s="1"/>
  <c r="J630" i="1" s="1"/>
  <c r="A22" i="12"/>
  <c r="J652" i="1"/>
  <c r="G571" i="1"/>
  <c r="I434" i="1"/>
  <c r="G434" i="1"/>
  <c r="I663" i="1"/>
  <c r="C27" i="10"/>
  <c r="L434" i="1" l="1"/>
  <c r="G638" i="1" s="1"/>
  <c r="J638" i="1" s="1"/>
  <c r="L545" i="1"/>
  <c r="D104" i="2"/>
  <c r="E51" i="2"/>
  <c r="L408" i="1"/>
  <c r="G637" i="1" s="1"/>
  <c r="J637" i="1" s="1"/>
  <c r="C141" i="2"/>
  <c r="C144" i="2" s="1"/>
  <c r="I461" i="1"/>
  <c r="H642" i="1" s="1"/>
  <c r="J642" i="1" s="1"/>
  <c r="G24" i="14"/>
  <c r="I661" i="1"/>
  <c r="C25" i="13"/>
  <c r="I33" i="13"/>
  <c r="K552" i="1"/>
  <c r="J647" i="1"/>
  <c r="I662" i="1"/>
  <c r="C115" i="2"/>
  <c r="C8" i="13"/>
  <c r="H660" i="1"/>
  <c r="H664" i="1" s="1"/>
  <c r="H667" i="1" s="1"/>
  <c r="G660" i="1"/>
  <c r="G664" i="1" s="1"/>
  <c r="G667" i="1" s="1"/>
  <c r="L257" i="1"/>
  <c r="L271" i="1" s="1"/>
  <c r="C128" i="2"/>
  <c r="G4" i="14"/>
  <c r="H4" i="14" s="1"/>
  <c r="I4" i="14" s="1"/>
  <c r="C104" i="2"/>
  <c r="F193" i="1"/>
  <c r="G627" i="1" s="1"/>
  <c r="J627" i="1" s="1"/>
  <c r="G51" i="2"/>
  <c r="G36" i="14"/>
  <c r="H36" i="14" s="1"/>
  <c r="I36" i="14" s="1"/>
  <c r="H648" i="1"/>
  <c r="J648" i="1" s="1"/>
  <c r="D31" i="13"/>
  <c r="C31" i="13" s="1"/>
  <c r="E145" i="2"/>
  <c r="F660" i="1"/>
  <c r="F664" i="1" s="1"/>
  <c r="F672" i="1" s="1"/>
  <c r="C4" i="10" s="1"/>
  <c r="L338" i="1"/>
  <c r="L352" i="1" s="1"/>
  <c r="G633" i="1" s="1"/>
  <c r="J633" i="1" s="1"/>
  <c r="H646" i="1"/>
  <c r="J646" i="1" s="1"/>
  <c r="G104" i="2"/>
  <c r="C28" i="10"/>
  <c r="D23" i="10" s="1"/>
  <c r="H24" i="14"/>
  <c r="I24" i="14" s="1"/>
  <c r="C51" i="2"/>
  <c r="G631" i="1"/>
  <c r="J631" i="1" s="1"/>
  <c r="G193" i="1"/>
  <c r="G628" i="1" s="1"/>
  <c r="J628" i="1" s="1"/>
  <c r="G626" i="1"/>
  <c r="J626" i="1" s="1"/>
  <c r="J52" i="1"/>
  <c r="H621" i="1" s="1"/>
  <c r="J621" i="1" s="1"/>
  <c r="C38" i="10"/>
  <c r="G632" i="1" l="1"/>
  <c r="F472" i="1"/>
  <c r="C145" i="2"/>
  <c r="F667" i="1"/>
  <c r="I660" i="1"/>
  <c r="I664" i="1" s="1"/>
  <c r="I672" i="1" s="1"/>
  <c r="C7" i="10" s="1"/>
  <c r="H672" i="1"/>
  <c r="C6" i="10" s="1"/>
  <c r="G672" i="1"/>
  <c r="C5" i="10" s="1"/>
  <c r="D25" i="10"/>
  <c r="D22" i="10"/>
  <c r="D18" i="10"/>
  <c r="D27" i="10"/>
  <c r="D15" i="10"/>
  <c r="D21" i="10"/>
  <c r="D24" i="10"/>
  <c r="D20" i="10"/>
  <c r="D11" i="10"/>
  <c r="D12" i="10"/>
  <c r="D13" i="10"/>
  <c r="D17" i="10"/>
  <c r="D19" i="10"/>
  <c r="D10" i="10"/>
  <c r="D26" i="10"/>
  <c r="C30" i="10"/>
  <c r="D16" i="10"/>
  <c r="D33" i="13"/>
  <c r="D36" i="13" s="1"/>
  <c r="C41" i="10"/>
  <c r="D38" i="10" s="1"/>
  <c r="F474" i="1" l="1"/>
  <c r="F476" i="1" s="1"/>
  <c r="H622" i="1" s="1"/>
  <c r="H632" i="1"/>
  <c r="J632" i="1" s="1"/>
  <c r="I667" i="1"/>
  <c r="D28" i="10"/>
  <c r="D37" i="10"/>
  <c r="D36" i="10"/>
  <c r="D35" i="10"/>
  <c r="D40" i="10"/>
  <c r="D39" i="10"/>
  <c r="J622" i="1" l="1"/>
  <c r="H656"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<sst xmlns="http://schemas.openxmlformats.org/spreadsheetml/2006/main" count="5508" uniqueCount="1610">
  <si>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</si>
  <si>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</si>
  <si>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</si>
  <si>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</si>
  <si>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</si>
  <si>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</si>
  <si>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</si>
  <si>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</si>
  <si>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</si>
  <si>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</si>
  <si>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</si>
  <si>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</si>
  <si>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</si>
  <si>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</si>
  <si>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</si>
  <si>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</si>
  <si>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</si>
  <si>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</si>
  <si>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</si>
  <si>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</si>
  <si>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</si>
  <si>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</si>
  <si>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</si>
  <si>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</si>
  <si>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</si>
  <si>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</si>
  <si>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</si>
  <si>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</si>
  <si>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</si>
  <si>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</si>
  <si>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</si>
  <si>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</si>
  <si>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</si>
  <si>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</si>
  <si>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</si>
  <si>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</si>
  <si>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</si>
  <si>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</si>
  <si>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</si>
  <si>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</si>
  <si>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</si>
  <si>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</si>
  <si>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</si>
  <si>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</si>
  <si>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</si>
  <si>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</si>
  <si>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</si>
  <si>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</si>
  <si>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</si>
  <si>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</si>
  <si>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</si>
  <si>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</si>
  <si>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</si>
  <si>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</si>
  <si>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</si>
  <si>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</si>
  <si>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</si>
  <si>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</si>
  <si>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</si>
  <si>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</si>
  <si>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</si>
  <si>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</si>
  <si>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</si>
  <si>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</si>
  <si>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</si>
  <si>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</si>
  <si>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</si>
  <si>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</si>
  <si>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</si>
  <si>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</si>
  <si>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</si>
  <si>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</si>
  <si>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</si>
  <si>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</si>
  <si>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</si>
  <si>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</si>
  <si>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</si>
  <si>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</si>
  <si>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</si>
  <si>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</si>
  <si>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</si>
  <si>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</si>
  <si>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</si>
  <si>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</si>
  <si>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</si>
  <si>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</si>
  <si>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</si>
  <si>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</si>
  <si>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</si>
  <si>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</si>
  <si>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</si>
  <si>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</si>
  <si>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</si>
  <si>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</si>
  <si>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</si>
  <si>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</si>
  <si>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</si>
  <si>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</si>
  <si>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</si>
  <si>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</si>
  <si>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</si>
  <si>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</si>
  <si>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</si>
  <si>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</si>
  <si>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</si>
  <si>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</si>
  <si>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</si>
  <si>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</si>
  <si>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</si>
  <si>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</si>
  <si>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</si>
  <si>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</si>
  <si>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</si>
  <si>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</si>
  <si>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</si>
  <si>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</si>
  <si>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</si>
  <si>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</si>
  <si>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</si>
  <si>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</si>
  <si>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</si>
  <si>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</si>
  <si>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</si>
  <si>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</si>
  <si>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</si>
  <si>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</si>
  <si>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</si>
  <si>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</si>
  <si>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</si>
  <si>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</si>
  <si>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</si>
  <si>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</si>
  <si>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</si>
  <si>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</si>
  <si>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</si>
  <si>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</si>
  <si>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</si>
  <si>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</si>
  <si>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</si>
  <si>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</si>
  <si>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</si>
  <si>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</si>
  <si>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</si>
  <si>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</si>
  <si>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</si>
  <si>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</si>
  <si>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</si>
  <si>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</si>
  <si>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</si>
  <si>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</si>
  <si>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</si>
  <si>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</si>
  <si>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</si>
  <si>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</si>
  <si>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</si>
  <si>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</si>
  <si>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</si>
  <si>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</si>
  <si>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</si>
  <si>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</si>
  <si>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</si>
  <si>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</si>
  <si>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</si>
  <si>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</si>
  <si>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</si>
  <si>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</si>
  <si>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</si>
  <si>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</si>
  <si>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</si>
  <si>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</si>
  <si>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</si>
  <si>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</si>
  <si>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</si>
  <si>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</si>
  <si>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</si>
  <si>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</si>
  <si>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</si>
  <si>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</si>
  <si>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</si>
  <si>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</si>
  <si>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</si>
  <si>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</si>
  <si>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</si>
  <si>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</si>
  <si>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</si>
  <si>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</si>
  <si>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</si>
  <si>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</si>
  <si>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</si>
  <si>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</si>
  <si>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</si>
  <si>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</si>
  <si>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</si>
  <si>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</si>
  <si>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</si>
  <si>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</si>
  <si>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</si>
  <si>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</si>
  <si>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</si>
  <si>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</si>
  <si>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</si>
  <si>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</si>
  <si>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</si>
  <si>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</si>
  <si>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</si>
  <si>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</si>
  <si>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</si>
  <si>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</si>
  <si>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</si>
  <si>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</si>
  <si>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</si>
  <si>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</si>
  <si>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</si>
  <si>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</si>
  <si>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</si>
  <si>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</si>
  <si>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</si>
  <si>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</si>
  <si>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</si>
  <si>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</si>
  <si>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</si>
  <si>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</si>
  <si>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</si>
  <si>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</si>
  <si>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</si>
  <si>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</si>
  <si>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</si>
  <si>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</si>
  <si>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</si>
  <si>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</si>
  <si>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</si>
  <si>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</si>
  <si>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</si>
  <si>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</si>
  <si>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</si>
  <si>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</si>
  <si>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</si>
  <si>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</si>
  <si>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</si>
  <si>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</si>
  <si>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</si>
  <si>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</si>
  <si>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</si>
  <si>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</si>
  <si>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</si>
  <si>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</si>
  <si>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</si>
  <si>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</si>
  <si>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</si>
  <si>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</si>
  <si>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</si>
  <si>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</si>
  <si>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</si>
  <si>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</si>
  <si>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</si>
  <si>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</si>
  <si>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</si>
  <si>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</si>
  <si>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</si>
  <si>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</si>
  <si>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</si>
  <si>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</si>
  <si>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</si>
  <si>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</si>
  <si>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</si>
  <si>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</si>
  <si>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</si>
  <si>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</si>
  <si>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</si>
  <si>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</si>
  <si>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</si>
  <si>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</si>
  <si>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</si>
  <si>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</si>
  <si>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</si>
  <si>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</si>
  <si>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</si>
  <si>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</si>
  <si>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</si>
  <si>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</si>
  <si>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</si>
  <si>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</si>
  <si>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</si>
  <si>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</si>
  <si>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</si>
  <si>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</si>
  <si>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</si>
  <si>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</si>
  <si>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</si>
  <si>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</si>
  <si>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</si>
  <si>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</si>
  <si>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</si>
  <si>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</si>
  <si>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</si>
  <si>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</si>
  <si>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</si>
  <si>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</si>
  <si>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</si>
  <si>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</si>
  <si>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</si>
  <si>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</si>
  <si>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</si>
  <si>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</si>
  <si>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</si>
  <si>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</si>
  <si>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</si>
  <si>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</si>
  <si>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</si>
  <si>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</si>
  <si>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</si>
  <si>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</si>
  <si>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</si>
  <si>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</si>
  <si>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</si>
  <si>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</si>
  <si>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</si>
  <si>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</si>
  <si>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</si>
  <si>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</si>
  <si>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</si>
  <si>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</si>
  <si>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</si>
  <si>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</si>
  <si>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</si>
  <si>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</si>
  <si>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</si>
  <si>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</si>
  <si>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</si>
  <si>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</si>
  <si>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</si>
  <si>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</si>
  <si>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</si>
  <si>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</si>
  <si>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</si>
  <si>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</si>
  <si>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</si>
  <si>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</si>
  <si>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</si>
  <si>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</si>
  <si>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</si>
  <si>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</si>
  <si>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</si>
  <si>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</si>
  <si>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</si>
  <si>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</si>
  <si>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</si>
  <si>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</si>
  <si>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</si>
  <si>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</si>
  <si>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</si>
  <si>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</si>
  <si>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</si>
  <si>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</si>
  <si>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</si>
  <si>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</si>
  <si>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</si>
  <si>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</si>
  <si>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</si>
  <si>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</si>
  <si>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</si>
  <si>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</si>
  <si>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</si>
  <si>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</si>
  <si>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</si>
  <si>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</si>
  <si>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</si>
  <si>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</si>
  <si>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</si>
  <si>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</si>
  <si>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</si>
  <si>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</si>
  <si>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</si>
  <si>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</si>
  <si>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</si>
  <si>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</si>
  <si>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</si>
  <si>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</si>
  <si>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</si>
  <si>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</si>
  <si>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</si>
  <si>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</si>
  <si>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</si>
  <si>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</si>
  <si>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</si>
  <si>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</si>
  <si>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</si>
  <si>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</si>
  <si>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</si>
  <si>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</si>
  <si>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</si>
  <si>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</si>
  <si>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</si>
  <si>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</si>
  <si>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</si>
  <si>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</si>
  <si>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</si>
  <si>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</si>
  <si>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</si>
  <si>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</si>
  <si>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</si>
  <si>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</si>
  <si>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</si>
  <si>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</si>
  <si>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</si>
  <si>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</si>
  <si>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</si>
  <si>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</si>
  <si>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</si>
  <si>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</si>
  <si>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</si>
  <si>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</si>
  <si>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</si>
  <si>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</si>
  <si>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</si>
  <si>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</si>
  <si>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</si>
  <si>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</si>
  <si>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</si>
  <si>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</si>
  <si>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</si>
  <si>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</si>
  <si>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</si>
  <si>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</si>
  <si>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</si>
  <si>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</si>
  <si>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</si>
  <si>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</si>
  <si>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</si>
  <si>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</si>
  <si>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</si>
  <si>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</si>
  <si>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</si>
  <si>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</si>
  <si>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</si>
  <si>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</si>
  <si>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</si>
  <si>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</si>
  <si>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</si>
  <si>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</si>
  <si>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</si>
  <si>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</si>
  <si>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</si>
  <si>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</si>
  <si>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</si>
  <si>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</si>
  <si>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</si>
  <si>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</si>
  <si>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</si>
  <si>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</si>
  <si>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</si>
  <si>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</si>
  <si>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</si>
  <si>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</si>
  <si>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</si>
  <si>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</si>
  <si>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</si>
  <si>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</si>
  <si>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</si>
  <si>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</si>
  <si>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</si>
  <si>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</si>
  <si>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</si>
  <si>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</si>
  <si>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</si>
  <si>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</si>
  <si>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</si>
  <si>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</si>
  <si>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</si>
  <si>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</si>
  <si>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</si>
  <si>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</si>
  <si>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</si>
  <si>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</si>
  <si>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</si>
  <si>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</si>
  <si>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</si>
  <si>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</si>
  <si>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</si>
  <si>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</si>
  <si>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</si>
  <si>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</si>
  <si>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</si>
  <si>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</si>
  <si>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</si>
  <si>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</si>
  <si>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</si>
  <si>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</si>
  <si>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</si>
  <si>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</si>
  <si>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</si>
  <si>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</si>
  <si>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</si>
  <si>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</si>
  <si>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</si>
  <si>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</si>
  <si>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</si>
  <si>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</si>
  <si>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</si>
  <si>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</si>
  <si>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</si>
  <si>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</si>
  <si>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</si>
  <si>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</si>
  <si>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</si>
  <si>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</si>
  <si>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</si>
  <si>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</si>
  <si>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</si>
  <si>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</si>
  <si>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</si>
  <si>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</si>
  <si>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</si>
  <si>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</si>
  <si>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</si>
  <si>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</si>
  <si>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</si>
  <si>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</si>
  <si>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</si>
  <si>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</si>
  <si>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</si>
  <si>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</si>
  <si>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</si>
  <si>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</si>
  <si>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</si>
  <si>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</si>
  <si>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</si>
  <si>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</si>
  <si>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</si>
  <si>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</si>
  <si>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</si>
  <si>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</si>
  <si>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</si>
  <si>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</si>
  <si>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</si>
  <si>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</si>
  <si>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</si>
  <si>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</si>
  <si>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</si>
  <si>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</si>
  <si>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</si>
  <si>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</si>
  <si>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</si>
  <si>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</si>
  <si>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</si>
  <si>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</si>
  <si>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</si>
  <si>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</si>
  <si>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</si>
  <si>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</si>
  <si>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</si>
  <si>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</si>
  <si>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</si>
  <si>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</si>
  <si>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</si>
  <si>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</si>
  <si>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</si>
  <si>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</si>
  <si>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</si>
  <si>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</si>
  <si>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</si>
  <si>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</si>
  <si>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</si>
  <si>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</si>
  <si>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</si>
  <si>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</si>
  <si>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</si>
  <si>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</si>
  <si>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</si>
  <si>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</si>
  <si>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</si>
  <si>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</si>
  <si>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</si>
  <si>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</si>
  <si>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</si>
  <si>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</si>
  <si>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</si>
  <si>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</si>
  <si>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</si>
  <si>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</si>
  <si>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</si>
  <si>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</si>
  <si>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</si>
  <si>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</si>
  <si>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</si>
  <si>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</si>
  <si>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</si>
  <si>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</si>
  <si>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</si>
  <si>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</si>
  <si>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</si>
  <si>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</si>
  <si>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</si>
  <si>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</si>
  <si>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</si>
  <si>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</si>
  <si>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</si>
  <si>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</si>
  <si>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</si>
  <si>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</si>
  <si>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</si>
  <si>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</si>
  <si>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</si>
  <si>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</si>
  <si>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</si>
  <si>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</si>
  <si>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</si>
  <si>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</si>
  <si>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</si>
  <si>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</si>
  <si>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</si>
  <si>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</si>
  <si>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</si>
  <si>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</si>
  <si>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</si>
  <si>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</si>
  <si>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</si>
  <si>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</si>
  <si>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</si>
  <si>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</si>
  <si>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</si>
  <si>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</si>
  <si>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</si>
  <si>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</si>
  <si>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</si>
  <si>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</si>
  <si>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</si>
  <si>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</si>
  <si>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</si>
  <si>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</si>
  <si>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</si>
  <si>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</si>
  <si>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</si>
  <si>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</si>
  <si>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</si>
  <si>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</si>
  <si>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</si>
  <si>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</si>
  <si>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</si>
  <si>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</si>
  <si>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</si>
  <si>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</si>
  <si>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</si>
  <si>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</si>
  <si>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</si>
  <si>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</si>
  <si>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</si>
  <si>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</si>
  <si>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</si>
  <si>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</si>
  <si>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</si>
  <si>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</si>
  <si>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</si>
  <si>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</si>
  <si>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</si>
  <si>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</si>
  <si>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</si>
  <si>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</si>
  <si>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</si>
  <si>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</si>
  <si>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</si>
  <si>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</si>
  <si>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</si>
  <si>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</si>
  <si>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</si>
  <si>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</si>
  <si>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</si>
  <si>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</si>
  <si>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</si>
  <si>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</si>
  <si>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</si>
  <si>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</si>
  <si>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</si>
  <si>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</si>
  <si>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</si>
  <si>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</si>
  <si>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</si>
  <si>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</si>
  <si>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</si>
  <si>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</si>
  <si>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</si>
  <si>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</si>
  <si>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</si>
  <si>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</si>
  <si>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</si>
  <si>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</si>
  <si>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</si>
  <si>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</si>
  <si>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</si>
  <si>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</si>
  <si>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</si>
  <si>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</si>
  <si>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</si>
  <si>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</si>
  <si>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</si>
  <si>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</si>
  <si>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</si>
  <si>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</si>
  <si>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</si>
  <si>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</si>
  <si>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</si>
  <si>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</si>
  <si>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</si>
  <si>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</si>
  <si>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</si>
  <si>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</si>
  <si>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</si>
  <si>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</si>
  <si>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</si>
  <si>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</si>
  <si>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</si>
  <si>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</si>
  <si>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</si>
  <si>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</si>
  <si>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</si>
  <si>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</si>
  <si>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</si>
  <si>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</si>
  <si>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</si>
  <si>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</si>
  <si>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</si>
  <si>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</si>
  <si>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</si>
  <si>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</si>
  <si>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</si>
  <si>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</si>
  <si>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</si>
  <si>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</si>
  <si>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</si>
  <si>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</si>
  <si>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</si>
  <si>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</si>
  <si>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</si>
  <si>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</si>
  <si>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</si>
  <si>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</si>
  <si>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</si>
  <si>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</si>
  <si>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</si>
  <si>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</si>
  <si>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</si>
  <si>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</si>
  <si>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</si>
  <si>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</si>
  <si>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</si>
  <si>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</si>
  <si>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</si>
  <si>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</si>
  <si>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</si>
  <si>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</si>
  <si>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</si>
  <si>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</si>
  <si>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</si>
  <si>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</si>
  <si>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</si>
  <si>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</si>
  <si>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</si>
  <si>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</si>
  <si>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</si>
  <si>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</si>
  <si>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</si>
  <si>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</si>
  <si>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</si>
  <si>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</si>
  <si>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</si>
  <si>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</si>
  <si>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</si>
  <si>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</si>
  <si>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</si>
  <si>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</si>
  <si>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</si>
  <si>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</si>
  <si>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</si>
  <si>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</si>
  <si>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</si>
  <si>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</si>
  <si>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</si>
  <si>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</si>
  <si>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</si>
  <si>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</si>
  <si>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</si>
  <si>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</si>
  <si>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</si>
  <si>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</si>
  <si>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</si>
  <si>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</si>
  <si>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</si>
  <si>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</si>
  <si>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</si>
  <si>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</si>
  <si>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</si>
  <si>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</si>
  <si>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</si>
  <si>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</si>
  <si>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</si>
  <si>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</si>
  <si>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</si>
  <si>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</si>
  <si>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</si>
  <si>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</si>
  <si>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</si>
  <si>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</si>
  <si>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</si>
  <si>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</si>
  <si>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</si>
  <si>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</si>
  <si>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</si>
  <si>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</si>
  <si>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</si>
  <si>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</si>
  <si>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</si>
  <si>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</si>
  <si>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</si>
  <si>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</si>
  <si>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</si>
  <si>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</si>
  <si>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</si>
  <si>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</si>
  <si>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</si>
  <si>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</si>
  <si>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</si>
  <si>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</si>
  <si>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</si>
  <si>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</si>
  <si>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</si>
  <si>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</si>
  <si>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</si>
  <si>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</si>
  <si>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</si>
  <si>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</si>
  <si>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</si>
  <si>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</si>
  <si>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</si>
  <si>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</si>
  <si>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</si>
  <si>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</si>
  <si>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</si>
  <si>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</si>
  <si>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</si>
  <si>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</si>
  <si>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</si>
  <si>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</si>
  <si>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</si>
  <si>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</si>
  <si>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</si>
  <si>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</si>
  <si>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</si>
  <si>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</si>
  <si>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</si>
  <si>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</si>
  <si>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</si>
  <si>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</si>
  <si>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</si>
  <si>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</si>
  <si>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</si>
  <si>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</si>
  <si>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</si>
  <si>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</si>
  <si>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</si>
  <si>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</si>
  <si>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</si>
  <si>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</si>
  <si>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</si>
  <si>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</si>
  <si>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</si>
  <si>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</si>
  <si>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</si>
  <si>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</si>
  <si>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</si>
  <si>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</si>
  <si>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</si>
  <si>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</si>
  <si>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</si>
  <si>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</si>
  <si>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</si>
  <si>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</si>
  <si>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</si>
  <si>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</si>
  <si>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</si>
  <si>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</si>
  <si>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</si>
  <si>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</si>
  <si>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</si>
  <si>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</si>
  <si>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</si>
  <si>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</si>
  <si>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</si>
  <si>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</si>
  <si>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</si>
  <si>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</si>
  <si>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</si>
  <si>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</si>
  <si>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</si>
  <si>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</si>
  <si>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</si>
  <si>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</si>
  <si>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</si>
  <si>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</si>
  <si>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</si>
  <si>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</si>
  <si>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</si>
  <si>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</si>
  <si>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</si>
  <si>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</si>
  <si>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</si>
  <si>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</si>
  <si>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</si>
  <si>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</si>
  <si>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</si>
  <si>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</si>
  <si>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</si>
  <si>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</si>
  <si>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</si>
  <si>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</si>
  <si>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</si>
  <si>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</si>
  <si>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</si>
  <si>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</si>
  <si>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</si>
  <si>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</si>
  <si>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</si>
  <si>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</si>
  <si>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</si>
  <si>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</si>
  <si>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</si>
  <si>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</si>
  <si>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</si>
  <si>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</si>
  <si>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</si>
  <si>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</si>
  <si>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</si>
  <si>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</si>
  <si>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</si>
  <si>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</si>
  <si>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</si>
  <si>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</si>
  <si>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</si>
  <si>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</si>
  <si>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</si>
  <si>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</si>
  <si>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</si>
  <si>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</si>
  <si>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</si>
  <si>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</si>
  <si>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</si>
  <si>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</si>
  <si>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</si>
  <si>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</si>
  <si>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</si>
  <si>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</si>
  <si>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</si>
  <si>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</si>
  <si>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</si>
  <si>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</si>
  <si>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</si>
  <si>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</si>
  <si>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</si>
  <si>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</si>
  <si>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</si>
  <si>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</si>
  <si>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</si>
  <si>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</si>
  <si>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</si>
  <si>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</si>
  <si>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</si>
  <si>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</si>
  <si>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</si>
  <si>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</si>
  <si>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</si>
  <si>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</si>
  <si>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</si>
  <si>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</si>
  <si>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</si>
  <si>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</si>
  <si>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</si>
  <si>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</si>
  <si>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</si>
  <si>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</si>
  <si>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</si>
  <si>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</si>
  <si>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</si>
  <si>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</si>
  <si>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</si>
  <si>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</si>
  <si>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</si>
  <si>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</si>
  <si>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</si>
  <si>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</si>
  <si>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</si>
  <si>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</si>
  <si>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</si>
  <si>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</si>
  <si>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</si>
  <si>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</si>
  <si>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</si>
  <si>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</si>
  <si>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</si>
  <si>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</si>
  <si>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</si>
  <si>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</si>
  <si>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</si>
  <si>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</si>
  <si>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</si>
  <si>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</si>
  <si>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</si>
  <si>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</si>
  <si>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</si>
  <si>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</si>
  <si>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</si>
  <si>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</si>
  <si>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</si>
  <si>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</si>
  <si>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</si>
  <si>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</si>
  <si>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</si>
  <si>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</si>
  <si>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</si>
  <si>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</si>
  <si>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</si>
  <si>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</si>
  <si>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</si>
  <si>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</si>
  <si>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</si>
  <si>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</si>
  <si>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</si>
  <si>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</si>
  <si>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</si>
  <si>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</si>
  <si>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</si>
  <si>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</si>
  <si>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</si>
  <si>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</si>
  <si>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</si>
  <si>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</si>
  <si>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</si>
  <si>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</si>
  <si>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</si>
  <si>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</si>
  <si>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</si>
  <si>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</si>
  <si>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</si>
  <si>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</si>
  <si>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</si>
  <si>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</si>
  <si>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</si>
  <si>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</si>
  <si>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</si>
  <si>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</si>
  <si>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</si>
  <si>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</si>
  <si>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</si>
  <si>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</si>
  <si>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</si>
  <si>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</si>
  <si>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</si>
  <si>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</si>
  <si>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</si>
  <si>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</si>
  <si>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</si>
  <si>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</si>
  <si>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</si>
  <si>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</si>
  <si>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</si>
  <si>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</si>
  <si>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</si>
  <si>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</si>
  <si>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</si>
  <si>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</si>
  <si>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</si>
  <si>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</si>
  <si>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</si>
  <si>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</si>
  <si>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</si>
  <si>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</si>
  <si>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</si>
  <si>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</si>
  <si>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</si>
  <si>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</si>
  <si>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</si>
  <si>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</si>
  <si>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</si>
  <si>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</si>
  <si>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</si>
  <si>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</si>
  <si>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</si>
  <si>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</si>
  <si>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</si>
  <si>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</si>
  <si>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</si>
  <si>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</si>
  <si>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</si>
  <si>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</si>
  <si>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</si>
  <si>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</si>
  <si>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</si>
  <si>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</si>
  <si>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</si>
  <si>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</si>
  <si>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</si>
  <si>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</si>
  <si>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</si>
  <si>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</si>
  <si>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</si>
  <si>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</si>
  <si>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</si>
  <si>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</si>
  <si>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</si>
  <si>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</si>
  <si>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</si>
  <si>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</si>
  <si>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</si>
  <si>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</si>
  <si>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</si>
  <si>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</si>
  <si>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</si>
  <si>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</si>
  <si>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</si>
  <si>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</si>
  <si>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</si>
  <si>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</si>
  <si>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</si>
  <si>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</si>
  <si>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</si>
  <si>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</si>
  <si>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</si>
  <si>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</si>
  <si>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</si>
  <si>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</si>
  <si>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</si>
  <si>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</si>
  <si>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</si>
  <si>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</si>
  <si>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</si>
  <si>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</si>
  <si>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</si>
  <si>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</si>
  <si>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</si>
  <si>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</si>
  <si>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</si>
  <si>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</si>
  <si>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</si>
  <si>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</si>
  <si>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</si>
  <si>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</si>
  <si>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</si>
  <si>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</si>
  <si>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</si>
  <si>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</si>
  <si>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</si>
  <si>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</si>
  <si>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</si>
  <si>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</si>
  <si>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</si>
  <si>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</si>
  <si>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</si>
  <si>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</si>
  <si>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</si>
  <si>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</si>
  <si>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</si>
  <si>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</si>
  <si>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</si>
  <si>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</si>
  <si>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</si>
  <si>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</si>
  <si>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</si>
  <si>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</si>
  <si>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</si>
  <si>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</si>
  <si>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</si>
  <si>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</si>
  <si>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</si>
  <si>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</si>
  <si>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</si>
  <si>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</si>
  <si>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</si>
  <si>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</si>
  <si>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</si>
  <si>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</si>
  <si>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</si>
  <si>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</si>
  <si>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</si>
  <si>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</si>
  <si>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</si>
  <si>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</si>
  <si>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</si>
  <si>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</si>
  <si>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</si>
  <si>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</si>
  <si>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</si>
  <si>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</si>
  <si>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</si>
  <si>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</si>
  <si>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</si>
  <si>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</si>
  <si>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</si>
  <si>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</si>
  <si>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</si>
  <si>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</si>
  <si>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</si>
  <si>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</si>
  <si>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</si>
  <si>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</si>
  <si>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</si>
  <si>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</si>
  <si>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</si>
  <si>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</si>
  <si>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</si>
  <si>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</si>
  <si>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</si>
  <si>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</si>
  <si>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</si>
  <si>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</si>
  <si>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</si>
  <si>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</si>
  <si>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</si>
  <si>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</si>
  <si>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</si>
  <si>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</si>
  <si>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</si>
  <si>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</si>
  <si>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</si>
  <si>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</si>
  <si>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</si>
  <si>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</si>
  <si>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</si>
  <si>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</si>
  <si>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</si>
  <si>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</si>
  <si>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</si>
  <si>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</si>
  <si>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</si>
  <si>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</si>
  <si>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</si>
  <si>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</si>
  <si>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</si>
  <si>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</si>
  <si>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</si>
  <si>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</si>
  <si>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</si>
  <si>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</si>
  <si>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</si>
  <si>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</si>
  <si>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</si>
  <si>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</si>
  <si>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</si>
  <si>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</si>
  <si>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</si>
  <si>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</si>
  <si>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</si>
  <si>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</si>
  <si>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</si>
  <si>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</si>
  <si>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</si>
  <si>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</si>
  <si>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</si>
  <si>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</si>
  <si>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</si>
  <si>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</si>
  <si>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</si>
  <si>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</si>
  <si>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</si>
  <si>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</si>
  <si>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</si>
  <si>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</si>
  <si>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</si>
  <si>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</si>
  <si>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</si>
  <si>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</si>
  <si>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</si>
  <si>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</si>
  <si>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</si>
  <si>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</si>
  <si>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</si>
  <si>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</si>
  <si>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</si>
  <si>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</si>
  <si>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</si>
  <si>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</si>
  <si>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</si>
  <si>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</si>
  <si>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</si>
  <si>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</si>
  <si>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</si>
  <si>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</si>
  <si>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</si>
  <si>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</si>
  <si>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</si>
  <si>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</si>
  <si>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</si>
  <si>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</si>
  <si>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</si>
  <si>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</si>
  <si>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</si>
  <si>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</si>
  <si>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</si>
  <si>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</si>
  <si>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</si>
  <si>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</si>
  <si>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</si>
  <si>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</si>
  <si>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</si>
  <si>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</si>
  <si>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</si>
  <si>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</si>
  <si>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</si>
  <si>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</si>
  <si>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</si>
  <si>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</si>
  <si>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</si>
  <si>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</si>
  <si>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</si>
  <si>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</si>
  <si>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</si>
  <si>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</si>
  <si>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</si>
  <si>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</si>
  <si>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</si>
  <si>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</si>
  <si>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</si>
  <si>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</si>
  <si>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</si>
  <si>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</si>
  <si>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</si>
  <si>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</si>
  <si>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</si>
  <si>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</si>
  <si>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</si>
  <si>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</si>
  <si>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</si>
  <si>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</si>
  <si>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</si>
  <si>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</si>
  <si>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</si>
  <si>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</si>
  <si>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</si>
  <si>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</si>
  <si>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</si>
  <si>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</si>
  <si>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</si>
  <si>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</si>
  <si>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</si>
  <si>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</si>
  <si>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</si>
  <si>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</si>
  <si>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</si>
  <si>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</si>
  <si>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</si>
  <si>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</si>
  <si>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</si>
  <si>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</si>
  <si>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</si>
  <si>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</si>
  <si>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</si>
  <si>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</si>
  <si>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</si>
  <si>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</si>
  <si>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</si>
  <si>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</si>
  <si>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</si>
  <si>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</si>
  <si>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</si>
  <si>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</si>
  <si>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</si>
  <si>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</si>
  <si>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</si>
  <si>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</si>
  <si>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</si>
  <si>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</si>
  <si>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</si>
  <si>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</si>
  <si>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</si>
  <si>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</si>
  <si>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</si>
  <si>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</si>
  <si>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</si>
  <si>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</si>
  <si>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</si>
  <si>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</si>
  <si>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</si>
  <si>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</si>
  <si>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</si>
  <si>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</si>
  <si>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</si>
  <si>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</si>
  <si>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</si>
  <si>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</si>
  <si>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</si>
  <si>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</si>
  <si>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</si>
  <si>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</si>
  <si>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</si>
  <si>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</si>
  <si>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</si>
  <si>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</si>
  <si>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</si>
  <si>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</si>
  <si>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</si>
  <si>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</si>
  <si>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</si>
  <si>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</si>
  <si>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</si>
  <si>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</si>
  <si>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</si>
  <si>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</si>
  <si>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</si>
  <si>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</si>
  <si>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</si>
  <si>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</si>
  <si>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</si>
  <si>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</si>
  <si>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</si>
  <si>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</si>
  <si>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</si>
  <si>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</si>
  <si>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</si>
  <si>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</si>
  <si>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</si>
  <si>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</si>
  <si>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</si>
  <si>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</si>
  <si>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</si>
  <si>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</si>
  <si>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</si>
  <si>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</si>
  <si>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</si>
  <si>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</si>
  <si>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</si>
  <si>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</si>
  <si>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</si>
  <si>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</si>
  <si>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</si>
  <si>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</si>
  <si>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</si>
  <si>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</si>
  <si>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</si>
  <si>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</si>
  <si>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</si>
  <si>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</si>
  <si>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</si>
  <si>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</si>
  <si>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</si>
  <si>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</si>
  <si>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</si>
  <si>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</si>
  <si>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</si>
  <si>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</si>
  <si>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</si>
  <si>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</si>
  <si>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</si>
  <si>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</si>
  <si>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</si>
  <si>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</si>
  <si>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</si>
  <si>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</si>
  <si>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</si>
  <si>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</si>
  <si>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</si>
  <si>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</si>
  <si>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</si>
  <si>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</si>
  <si>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</si>
  <si>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</si>
  <si>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</si>
  <si>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</si>
  <si>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</si>
  <si>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</si>
  <si>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</si>
  <si>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</si>
  <si>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</si>
  <si>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</si>
  <si>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</si>
  <si>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</si>
  <si>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</si>
  <si>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</si>
  <si>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</si>
  <si>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</si>
  <si>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</si>
  <si>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</si>
  <si>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</si>
  <si>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</si>
  <si>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</si>
  <si>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</si>
  <si>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</si>
  <si>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</si>
  <si>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</si>
  <si>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</si>
  <si>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</si>
  <si>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</si>
  <si>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</si>
  <si>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</si>
  <si>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</si>
  <si>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</si>
  <si>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</si>
  <si>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</si>
  <si>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</si>
  <si>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</si>
  <si>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</si>
  <si>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</si>
  <si>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</si>
  <si>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</si>
  <si>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</si>
  <si>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</si>
  <si>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</si>
  <si>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</si>
  <si>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</si>
  <si>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</si>
  <si>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</si>
  <si>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</si>
  <si>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</si>
  <si>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</si>
  <si>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</si>
  <si>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</si>
  <si>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</si>
  <si>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</si>
  <si>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</si>
  <si>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</si>
  <si>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</si>
  <si>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</si>
  <si>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</si>
  <si>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</si>
  <si>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</si>
  <si>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</si>
  <si>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</si>
  <si>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</si>
  <si>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</si>
  <si>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</si>
  <si>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</si>
  <si>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</si>
  <si>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</si>
  <si>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</si>
  <si>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</si>
  <si>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</si>
  <si>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</si>
  <si>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</si>
  <si>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</si>
  <si>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</si>
  <si>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</si>
  <si>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</si>
  <si>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</si>
  <si>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</si>
  <si>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</si>
  <si>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</si>
  <si>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</si>
  <si>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</si>
  <si>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</si>
  <si>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</si>
  <si>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</si>
  <si>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</si>
  <si>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</si>
  <si>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</si>
  <si>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</si>
  <si>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</si>
  <si>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</si>
  <si>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</si>
  <si>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</si>
  <si>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</si>
  <si>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</si>
  <si>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</si>
  <si>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</si>
  <si>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</si>
  <si>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</si>
  <si>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</si>
  <si>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</si>
  <si>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</si>
  <si>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</si>
  <si>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</si>
  <si>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</si>
  <si>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</si>
  <si>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</si>
  <si>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</si>
  <si>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</si>
  <si>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</si>
  <si>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</si>
  <si>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</si>
  <si>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</si>
  <si>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</si>
  <si>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</si>
  <si>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</si>
  <si>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</si>
  <si>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</si>
  <si>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</si>
  <si>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</si>
  <si>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</si>
  <si>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</si>
  <si>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</si>
  <si>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</si>
  <si>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</si>
  <si>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</si>
  <si>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</si>
  <si>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</si>
  <si>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</si>
  <si>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</si>
  <si>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</si>
  <si>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</si>
  <si>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</si>
  <si>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</si>
  <si>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</si>
  <si>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</si>
  <si>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</si>
  <si>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</si>
  <si>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</si>
  <si>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</si>
  <si>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</si>
  <si>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</si>
  <si>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</si>
  <si>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</si>
  <si>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</si>
  <si>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</si>
  <si>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</si>
  <si>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Sunapee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</si>
</sst>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515</v>
      </c>
      <c r="C2" s="21">
        <v>515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582990</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11</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9018+129673</f>
        <v>138691</v>
      </c>
      <c r="G12" s="18">
        <v>34982</v>
      </c>
      <c r="H12" s="18">
        <v>-46642</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2722</v>
      </c>
      <c r="H13" s="18">
        <v>47011</v>
      </c>
      <c r="I13" s="18"/>
      <c r="J13" s="67">
        <f>SUM(I442)</f>
        <v>1113321</v>
      </c>
      <c r="K13" s="24" t="s">
        <v>288</v>
      </c>
      <c r="L13" s="24" t="s">
        <v>288</v>
      </c>
      <c r="M13" s="8"/>
      <c r="N13" s="266"/>
    </row>
    <row r="14" spans="1:14" s="3" customFormat="1" ht="12.2" customHeight="1" x14ac:dyDescent="0.15">
      <c r="A14" s="1" t="s">
        <v>565</v>
      </c>
      <c r="B14" s="2" t="s">
        <v>289</v>
      </c>
      <c r="C14" s="6">
        <v>6</v>
      </c>
      <c r="D14" s="2" t="s">
        <v>428</v>
      </c>
      <c r="E14" s="6">
        <v>150</v>
      </c>
      <c r="F14" s="18">
        <v>25295</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746987</v>
      </c>
      <c r="G19" s="41">
        <f>SUM(G9:G18)</f>
        <v>37704</v>
      </c>
      <c r="H19" s="41">
        <f>SUM(H9:H18)</f>
        <v>369</v>
      </c>
      <c r="I19" s="41">
        <f>SUM(I9:I18)</f>
        <v>0</v>
      </c>
      <c r="J19" s="41">
        <f>SUM(J9:J18)</f>
        <v>1113321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129673</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4213</v>
      </c>
      <c r="G24" s="18"/>
      <c r="H24" s="18">
        <v>369</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4213</v>
      </c>
      <c r="G32" s="41">
        <f>SUM(G22:G31)</f>
        <v>0</v>
      </c>
      <c r="H32" s="41">
        <f>SUM(H22:H31)</f>
        <v>369</v>
      </c>
      <c r="I32" s="41">
        <f>SUM(I22:I31)</f>
        <v>0</v>
      </c>
      <c r="J32" s="41">
        <f>SUM(J22:J31)</f>
        <v>129673</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76595</v>
      </c>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250000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983648</v>
      </c>
      <c r="K48" s="24" t="s">
        <v>288</v>
      </c>
      <c r="L48" s="24" t="s">
        <v>288</v>
      </c>
      <c r="M48" s="8"/>
      <c r="N48" s="266"/>
    </row>
    <row r="49" spans="1:14" s="3" customFormat="1" ht="12.2" customHeight="1" x14ac:dyDescent="0.15">
      <c r="A49" s="1" t="s">
        <v>859</v>
      </c>
      <c r="B49" s="2" t="s">
        <v>289</v>
      </c>
      <c r="C49" s="6">
        <v>34</v>
      </c>
      <c r="D49" s="2"/>
      <c r="E49" s="6">
        <v>753</v>
      </c>
      <c r="F49" s="18"/>
      <c r="G49" s="18">
        <v>37704</v>
      </c>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391179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742774</v>
      </c>
      <c r="G51" s="41">
        <f>SUM(G35:G50)</f>
        <v>37704</v>
      </c>
      <c r="H51" s="41">
        <f>SUM(H35:H50)</f>
        <v>0</v>
      </c>
      <c r="I51" s="41">
        <f>SUM(I35:I50)</f>
        <v>0</v>
      </c>
      <c r="J51" s="41">
        <f>SUM(J35:J50)</f>
        <v>983648</v>
      </c>
      <c r="K51" s="45" t="s">
        <v>288</v>
      </c>
      <c r="L51" s="45" t="s">
        <v>288</v>
      </c>
      <c r="N51" s="264"/>
    </row>
    <row r="52" spans="1:14" s="3" customFormat="1" ht="12.2" customHeight="1" thickTop="1" x14ac:dyDescent="0.15">
      <c r="A52" s="38" t="s">
        <v>455</v>
      </c>
      <c r="B52" s="39" t="s">
        <v>289</v>
      </c>
      <c r="C52" s="6">
        <v>37</v>
      </c>
      <c r="D52" s="39" t="s">
        <v>653</v>
      </c>
      <c r="E52" s="39"/>
      <c r="F52" s="41">
        <f>F51+F32</f>
        <v>746987</v>
      </c>
      <c r="G52" s="41">
        <f>G51+G32</f>
        <v>37704</v>
      </c>
      <c r="H52" s="41">
        <f>H51+H32</f>
        <v>369</v>
      </c>
      <c r="I52" s="41">
        <f>I51+I32</f>
        <v>0</v>
      </c>
      <c r="J52" s="41">
        <f>J51+J32</f>
        <v>1113321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8460693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8460693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23120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222700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49621</v>
      </c>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295441</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36968</v>
      </c>
      <c r="G96" s="18"/>
      <c r="H96" s="18"/>
      <c r="I96" s="18"/>
      <c r="J96" s="18">
        <v>17515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108308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2811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39779</v>
      </c>
      <c r="G111" s="41">
        <f>SUM(G96:G110)</f>
        <v>108308</v>
      </c>
      <c r="H111" s="41">
        <f>SUM(H96:H110)</f>
        <v>0</v>
      </c>
      <c r="I111" s="41">
        <f>SUM(I96:I110)</f>
        <v>0</v>
      </c>
      <c r="J111" s="41">
        <f>SUM(J96:J110)</f>
        <v>17515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8795913</v>
      </c>
      <c r="G112" s="41">
        <f>G60+G111</f>
        <v>108308</v>
      </c>
      <c r="H112" s="41">
        <f>H60+H79+H94+H111</f>
        <v>0</v>
      </c>
      <c r="I112" s="41">
        <f>I60+I111</f>
        <v>0</v>
      </c>
      <c r="J112" s="41">
        <f>J60+J111</f>
        <v>17515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2744111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2744111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29523</v>
      </c>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200236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492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2084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v>8063</v>
      </c>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230251</v>
      </c>
      <c r="G136" s="41">
        <f>SUM(G123:G135)</f>
        <v>10147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2974362</v>
      </c>
      <c r="G140" s="41">
        <f>G121+SUM(G136:G137)</f>
        <v>10147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37356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27611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46665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105566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85383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89796</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85383</v>
      </c>
      <c r="G162" s="41">
        <f>SUM(G150:G161)</f>
        <v>46665</v>
      </c>
      <c r="H162" s="41">
        <f>SUM(H150:H161)</f>
        <v>260329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85383</v>
      </c>
      <c r="G169" s="41">
        <f>G147+G162+SUM(G163:G168)</f>
        <v>46665</v>
      </c>
      <c r="H169" s="41">
        <f>H147+H162+SUM(H163:H168)</f>
        <v>260329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75000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75000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75000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11855658</v>
      </c>
      <c r="G193" s="47">
        <f>G112+G140+G169+G192</f>
        <v>165120</v>
      </c>
      <c r="H193" s="47">
        <f>H112+H140+H169+H192</f>
        <v>260329</v>
      </c>
      <c r="I193" s="47">
        <f>I112+I140+I169+I192</f>
        <v>0</v>
      </c>
      <c r="J193" s="47">
        <f>J112+J140+J192</f>
        <v>92515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1135496</v>
      </c>
      <c r="G197" s="18">
        <v>522539</v>
      </c>
      <c r="H197" s="18">
        <v>4142</v>
      </c>
      <c r="I197" s="18">
        <v>31953</v>
      </c>
      <c r="J197" s="18">
        <f>8791+2892</f>
        <v>11683</v>
      </c>
      <c r="K197" s="18"/>
      <c r="L197" s="19">
        <f>SUM(F197:K197)</f>
        <v>1705813</v>
      </c>
      <c r="M197" s="8"/>
      <c r="N197" s="266"/>
    </row>
    <row r="198" spans="1:14" s="3" customFormat="1" ht="12.2" customHeight="1" x14ac:dyDescent="0.15">
      <c r="A198" s="1" t="s">
        <v>439</v>
      </c>
      <c r="B198" s="2" t="s">
        <v>341</v>
      </c>
      <c r="C198" s="2" t="s">
        <v>291</v>
      </c>
      <c r="D198" s="2" t="s">
        <v>431</v>
      </c>
      <c r="E198" s="6">
        <v>1200</v>
      </c>
      <c r="F198" s="18">
        <v>348666</v>
      </c>
      <c r="G198" s="18">
        <v>164236</v>
      </c>
      <c r="H198" s="18">
        <v>678</v>
      </c>
      <c r="I198" s="18">
        <v>4961</v>
      </c>
      <c r="J198" s="18">
        <v>2063</v>
      </c>
      <c r="K198" s="18">
        <v>702</v>
      </c>
      <c r="L198" s="19">
        <f>SUM(F198:K198)</f>
        <v>521306</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24038</v>
      </c>
      <c r="G200" s="18">
        <v>28179</v>
      </c>
      <c r="H200" s="18">
        <v>4361</v>
      </c>
      <c r="I200" s="18">
        <v>3230</v>
      </c>
      <c r="J200" s="18"/>
      <c r="K200" s="18"/>
      <c r="L200" s="19">
        <f>SUM(F200:K200)</f>
        <v>59808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250576</v>
      </c>
      <c r="G202" s="18">
        <v>126952</v>
      </c>
      <c r="H202" s="18">
        <f>4490+313</f>
        <v>4803</v>
      </c>
      <c r="I202" s="18">
        <v>2182</v>
      </c>
      <c r="J202" s="18"/>
      <c r="K202" s="18"/>
      <c r="L202" s="19">
        <f t="shared" ref="L202:L208" si="0">SUM(F202:K202)</f>
        <v>384513</v>
      </c>
      <c r="M202" s="8"/>
      <c r="N202" s="266"/>
    </row>
    <row r="203" spans="1:14" s="3" customFormat="1" ht="12.2" customHeight="1" x14ac:dyDescent="0.15">
      <c r="A203" s="1" t="s">
        <v>443</v>
      </c>
      <c r="B203" s="2" t="s">
        <v>341</v>
      </c>
      <c r="C203" s="2" t="s">
        <v>295</v>
      </c>
      <c r="D203" s="2" t="s">
        <v>431</v>
      </c>
      <c r="E203" s="6">
        <v>2200</v>
      </c>
      <c r="F203" s="18">
        <v>119487</v>
      </c>
      <c r="G203" s="18">
        <f>18251+70890</f>
        <v>89141</v>
      </c>
      <c r="H203" s="18">
        <f>16676+2097</f>
        <v>18773</v>
      </c>
      <c r="I203" s="18">
        <v>26129</v>
      </c>
      <c r="J203" s="18">
        <v>35013</v>
      </c>
      <c r="K203" s="18"/>
      <c r="L203" s="19">
        <f t="shared" si="0"/>
        <v>288543</v>
      </c>
      <c r="M203" s="8"/>
      <c r="N203" s="266"/>
    </row>
    <row r="204" spans="1:14" s="3" customFormat="1" ht="12.2" customHeight="1" x14ac:dyDescent="0.15">
      <c r="A204" s="1" t="s">
        <v>444</v>
      </c>
      <c r="B204" s="2" t="s">
        <v>341</v>
      </c>
      <c r="C204" s="2" t="s">
        <v>296</v>
      </c>
      <c r="D204" s="2" t="s">
        <v>431</v>
      </c>
      <c r="E204" s="6">
        <v>2300</v>
      </c>
      <c r="F204" s="18">
        <v>103752</v>
      </c>
      <c r="G204" s="18">
        <f>1534+58183</f>
        <v>59717</v>
      </c>
      <c r="H204" s="18">
        <v>14024</v>
      </c>
      <c r="I204" s="18">
        <f>13739+250</f>
        <v>13989</v>
      </c>
      <c r="J204" s="18"/>
      <c r="K204" s="18">
        <v>3748</v>
      </c>
      <c r="L204" s="19">
        <f t="shared" si="0"/>
        <v>195230</v>
      </c>
      <c r="M204" s="8"/>
      <c r="N204" s="266"/>
    </row>
    <row r="205" spans="1:14" s="3" customFormat="1" ht="12.2" customHeight="1" x14ac:dyDescent="0.15">
      <c r="A205" s="1" t="s">
        <v>445</v>
      </c>
      <c r="B205" s="2" t="s">
        <v>341</v>
      </c>
      <c r="C205" s="2" t="s">
        <v>297</v>
      </c>
      <c r="D205" s="2" t="s">
        <v>431</v>
      </c>
      <c r="E205" s="6">
        <v>2400</v>
      </c>
      <c r="F205" s="18">
        <v>122914</v>
      </c>
      <c r="G205" s="18">
        <v>52068</v>
      </c>
      <c r="H205" s="18">
        <v>1536</v>
      </c>
      <c r="I205" s="18">
        <v>895</v>
      </c>
      <c r="J205" s="18"/>
      <c r="K205" s="18">
        <v>339</v>
      </c>
      <c r="L205" s="19">
        <f t="shared" si="0"/>
        <v>177752</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143538</v>
      </c>
      <c r="G207" s="18">
        <v>55538</v>
      </c>
      <c r="H207" s="18">
        <f>102493+1667+3734</f>
        <v>107894</v>
      </c>
      <c r="I207" s="18">
        <v>84843</v>
      </c>
      <c r="J207" s="18"/>
      <c r="K207" s="18"/>
      <c r="L207" s="19">
        <f t="shared" si="0"/>
        <v>391813</v>
      </c>
      <c r="M207" s="8"/>
      <c r="N207" s="266"/>
    </row>
    <row r="208" spans="1:14" s="3" customFormat="1" ht="12.2" customHeight="1" x14ac:dyDescent="0.15">
      <c r="A208" s="1" t="s">
        <v>448</v>
      </c>
      <c r="B208" s="2" t="s">
        <v>341</v>
      </c>
      <c r="C208" s="2" t="s">
        <v>300</v>
      </c>
      <c r="D208" s="2" t="s">
        <v>431</v>
      </c>
      <c r="E208" s="6">
        <v>2700</v>
      </c>
      <c r="F208" s="18">
        <v>148432</v>
      </c>
      <c r="G208" s="18">
        <f>861+53272</f>
        <v>54133</v>
      </c>
      <c r="H208" s="18">
        <f>31182+1606</f>
        <v>32788</v>
      </c>
      <c r="I208" s="18">
        <f>17309+681</f>
        <v>17990</v>
      </c>
      <c r="J208" s="18">
        <v>78028</v>
      </c>
      <c r="K208" s="18">
        <v>203</v>
      </c>
      <c r="L208" s="19">
        <f t="shared" si="0"/>
        <v>331574</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2396899</v>
      </c>
      <c r="G211" s="41">
        <f t="shared" si="1"/>
        <v>1152503</v>
      </c>
      <c r="H211" s="41">
        <f t="shared" si="1"/>
        <v>188999</v>
      </c>
      <c r="I211" s="41">
        <f t="shared" si="1"/>
        <v>186172</v>
      </c>
      <c r="J211" s="41">
        <f t="shared" si="1"/>
        <v>126787</v>
      </c>
      <c r="K211" s="41">
        <f t="shared" si="1"/>
        <v>4992</v>
      </c>
      <c r="L211" s="41">
        <f t="shared" si="1"/>
        <v>4056352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653500</v>
      </c>
      <c r="G215" s="18">
        <v>522539</v>
      </c>
      <c r="H215" s="18">
        <v>3133</v>
      </c>
      <c r="I215" s="18">
        <f>29395+393+623</f>
        <v>30411</v>
      </c>
      <c r="J215" s="18">
        <v>6137</v>
      </c>
      <c r="K215" s="18"/>
      <c r="L215" s="19">
        <f>SUM(F215:K215)</f>
        <v>1215720</v>
      </c>
      <c r="M215" s="8"/>
      <c r="N215" s="266"/>
    </row>
    <row r="216" spans="1:14" s="3" customFormat="1" ht="12.2" customHeight="1" x14ac:dyDescent="0.15">
      <c r="A216" s="1" t="s">
        <v>439</v>
      </c>
      <c r="B216" s="2" t="s">
        <v>346</v>
      </c>
      <c r="C216" s="2" t="s">
        <v>291</v>
      </c>
      <c r="D216" s="2" t="s">
        <v>431</v>
      </c>
      <c r="E216" s="6">
        <v>1200</v>
      </c>
      <c r="F216" s="18">
        <v>208415</v>
      </c>
      <c r="G216" s="18">
        <v>164236</v>
      </c>
      <c r="H216" s="18">
        <v>678</v>
      </c>
      <c r="I216" s="18">
        <v>3862</v>
      </c>
      <c r="J216" s="18">
        <v>1180</v>
      </c>
      <c r="K216" s="18">
        <v>702</v>
      </c>
      <c r="L216" s="19">
        <f>SUM(F216:K216)</f>
        <v>379073</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54943</v>
      </c>
      <c r="G218" s="18">
        <v>28179</v>
      </c>
      <c r="H218" s="18">
        <v>10694</v>
      </c>
      <c r="I218" s="18">
        <v>20452</v>
      </c>
      <c r="J218" s="18"/>
      <c r="K218" s="18">
        <v>2364</v>
      </c>
      <c r="L218" s="19">
        <f>SUM(F218:K218)</f>
        <v>116632</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219959</v>
      </c>
      <c r="G220" s="18">
        <v>126952</v>
      </c>
      <c r="H220" s="18">
        <f>6821+313</f>
        <v>7134</v>
      </c>
      <c r="I220" s="18">
        <v>3944</v>
      </c>
      <c r="J220" s="18"/>
      <c r="K220" s="18"/>
      <c r="L220" s="19">
        <f t="shared" ref="L220:L226" si="2">SUM(F220:K220)</f>
        <v>357989</v>
      </c>
      <c r="M220" s="8"/>
      <c r="N220" s="266"/>
    </row>
    <row r="221" spans="1:14" s="3" customFormat="1" ht="12.2" customHeight="1" x14ac:dyDescent="0.15">
      <c r="A221" s="1" t="s">
        <v>443</v>
      </c>
      <c r="B221" s="2" t="s">
        <v>346</v>
      </c>
      <c r="C221" s="2" t="s">
        <v>295</v>
      </c>
      <c r="D221" s="2" t="s">
        <v>431</v>
      </c>
      <c r="E221" s="6">
        <v>2200</v>
      </c>
      <c r="F221" s="18">
        <v>119980</v>
      </c>
      <c r="G221" s="18">
        <f>9801+70890</f>
        <v>80691</v>
      </c>
      <c r="H221" s="18">
        <f>15701+2097</f>
        <v>17798</v>
      </c>
      <c r="I221" s="18">
        <v>26279</v>
      </c>
      <c r="J221" s="18">
        <f>11204+960</f>
        <v>12164</v>
      </c>
      <c r="K221" s="18"/>
      <c r="L221" s="19">
        <f t="shared" si="2"/>
        <v>256912</v>
      </c>
      <c r="M221" s="8"/>
      <c r="N221" s="266"/>
    </row>
    <row r="222" spans="1:14" s="3" customFormat="1" ht="12.2" customHeight="1" x14ac:dyDescent="0.15">
      <c r="A222" s="1" t="s">
        <v>444</v>
      </c>
      <c r="B222" s="2" t="s">
        <v>346</v>
      </c>
      <c r="C222" s="2" t="s">
        <v>296</v>
      </c>
      <c r="D222" s="2" t="s">
        <v>431</v>
      </c>
      <c r="E222" s="6">
        <v>2300</v>
      </c>
      <c r="F222" s="18">
        <v>103752</v>
      </c>
      <c r="G222" s="18">
        <f>1535+58183</f>
        <v>59718</v>
      </c>
      <c r="H222" s="18">
        <v>14024</v>
      </c>
      <c r="I222" s="18">
        <f>13739+250</f>
        <v>13989</v>
      </c>
      <c r="J222" s="18"/>
      <c r="K222" s="18">
        <v>3748</v>
      </c>
      <c r="L222" s="19">
        <f t="shared" si="2"/>
        <v>195231</v>
      </c>
      <c r="M222" s="8"/>
      <c r="N222" s="266"/>
    </row>
    <row r="223" spans="1:14" s="3" customFormat="1" ht="12.2" customHeight="1" x14ac:dyDescent="0.15">
      <c r="A223" s="1" t="s">
        <v>445</v>
      </c>
      <c r="B223" s="2" t="s">
        <v>346</v>
      </c>
      <c r="C223" s="2" t="s">
        <v>297</v>
      </c>
      <c r="D223" s="2" t="s">
        <v>431</v>
      </c>
      <c r="E223" s="6">
        <v>2400</v>
      </c>
      <c r="F223" s="18">
        <v>93742</v>
      </c>
      <c r="G223" s="18">
        <v>52068</v>
      </c>
      <c r="H223" s="18">
        <v>2906</v>
      </c>
      <c r="I223" s="18">
        <v>4082</v>
      </c>
      <c r="J223" s="18"/>
      <c r="K223" s="18">
        <v>2521</v>
      </c>
      <c r="L223" s="19">
        <f t="shared" si="2"/>
        <v>155319</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v>64791</v>
      </c>
      <c r="G225" s="18">
        <v>55538</v>
      </c>
      <c r="H225" s="18">
        <f>100566+17139+3278+1667+29168+3734+7352</f>
        <v>162904</v>
      </c>
      <c r="I225" s="18">
        <v>106173</v>
      </c>
      <c r="J225" s="18">
        <f>9720+4000</f>
        <v>13720</v>
      </c>
      <c r="K225" s="18"/>
      <c r="L225" s="19">
        <f t="shared" si="2"/>
        <v>403126</v>
      </c>
      <c r="M225" s="8"/>
      <c r="N225" s="266"/>
    </row>
    <row r="226" spans="1:14" s="3" customFormat="1" ht="12.2" customHeight="1" x14ac:dyDescent="0.15">
      <c r="A226" s="1" t="s">
        <v>448</v>
      </c>
      <c r="B226" s="2" t="s">
        <v>346</v>
      </c>
      <c r="C226" s="2" t="s">
        <v>300</v>
      </c>
      <c r="D226" s="2" t="s">
        <v>431</v>
      </c>
      <c r="E226" s="6">
        <v>2700</v>
      </c>
      <c r="F226" s="18">
        <v>69183</v>
      </c>
      <c r="G226" s="18">
        <f>287+53272</f>
        <v>53559</v>
      </c>
      <c r="H226" s="18">
        <f>10394+1606</f>
        <v>12000</v>
      </c>
      <c r="I226" s="18">
        <f>5770+681</f>
        <v>6451</v>
      </c>
      <c r="J226" s="18">
        <v>26009</v>
      </c>
      <c r="K226" s="18">
        <v>68</v>
      </c>
      <c r="L226" s="19">
        <f t="shared" si="2"/>
        <v>167270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1588265</v>
      </c>
      <c r="G229" s="41">
        <f>SUM(G215:G228)</f>
        <v>1143480</v>
      </c>
      <c r="H229" s="41">
        <f>SUM(H215:H228)</f>
        <v>231271</v>
      </c>
      <c r="I229" s="41">
        <f>SUM(I215:I228)</f>
        <v>215643</v>
      </c>
      <c r="J229" s="41">
        <f>SUM(J215:J228)</f>
        <v>59210</v>
      </c>
      <c r="K229" s="41">
        <f t="shared" si="3"/>
        <v>9403</v>
      </c>
      <c r="L229" s="41">
        <f t="shared" si="3"/>
        <v>3247272</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971968</v>
      </c>
      <c r="G233" s="18">
        <f>538369+49254</f>
        <v>587623</v>
      </c>
      <c r="H233" s="18">
        <v>4699</v>
      </c>
      <c r="I233" s="18">
        <f>44093+589+935</f>
        <v>45617</v>
      </c>
      <c r="J233" s="18">
        <f>9206</f>
        <v>9206</v>
      </c>
      <c r="K233" s="18"/>
      <c r="L233" s="19">
        <f>SUM(F233:K233)</f>
        <v>1619113</v>
      </c>
      <c r="M233" s="8"/>
      <c r="N233" s="266"/>
    </row>
    <row r="234" spans="1:14" s="3" customFormat="1" ht="12.2" customHeight="1" x14ac:dyDescent="0.15">
      <c r="A234" s="1" t="s">
        <v>439</v>
      </c>
      <c r="B234" s="2" t="s">
        <v>350</v>
      </c>
      <c r="C234" s="2" t="s">
        <v>291</v>
      </c>
      <c r="D234" s="2" t="s">
        <v>431</v>
      </c>
      <c r="E234" s="6">
        <v>1200</v>
      </c>
      <c r="F234" s="18">
        <v>288493</v>
      </c>
      <c r="G234" s="18">
        <v>169213</v>
      </c>
      <c r="H234" s="18">
        <v>515814</v>
      </c>
      <c r="I234" s="18">
        <v>4546</v>
      </c>
      <c r="J234" s="18">
        <v>1771</v>
      </c>
      <c r="K234" s="18">
        <v>703</v>
      </c>
      <c r="L234" s="19">
        <f>SUM(F234:K234)</f>
        <v>980540</v>
      </c>
      <c r="M234" s="8"/>
      <c r="N234" s="266"/>
    </row>
    <row r="235" spans="1:14" s="3" customFormat="1" ht="12.2" customHeight="1" x14ac:dyDescent="0.15">
      <c r="A235" s="1" t="s">
        <v>440</v>
      </c>
      <c r="B235" s="2" t="s">
        <v>350</v>
      </c>
      <c r="C235" s="2" t="s">
        <v>292</v>
      </c>
      <c r="D235" s="2" t="s">
        <v>431</v>
      </c>
      <c r="E235" s="6">
        <v>1300</v>
      </c>
      <c r="F235" s="18"/>
      <c r="G235" s="18"/>
      <c r="H235" s="18">
        <v>3939</v>
      </c>
      <c r="I235" s="18"/>
      <c r="J235" s="18"/>
      <c r="K235" s="18"/>
      <c r="L235" s="19">
        <f>SUM(F235:K235)</f>
        <v>3939</v>
      </c>
      <c r="M235" s="8"/>
      <c r="N235" s="266"/>
    </row>
    <row r="236" spans="1:14" s="3" customFormat="1" ht="12.2" customHeight="1" x14ac:dyDescent="0.15">
      <c r="A236" s="1" t="s">
        <v>441</v>
      </c>
      <c r="B236" s="2" t="s">
        <v>350</v>
      </c>
      <c r="C236" s="2" t="s">
        <v>293</v>
      </c>
      <c r="D236" s="2" t="s">
        <v>431</v>
      </c>
      <c r="E236" s="6">
        <v>1400</v>
      </c>
      <c r="F236" s="18">
        <v>82415</v>
      </c>
      <c r="G236" s="18">
        <v>29033</v>
      </c>
      <c r="H236" s="18">
        <v>16040</v>
      </c>
      <c r="I236" s="18">
        <v>30679</v>
      </c>
      <c r="J236" s="18"/>
      <c r="K236" s="18">
        <v>3546</v>
      </c>
      <c r="L236" s="19">
        <f>SUM(F236:K236)</f>
        <v>161713</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272936</v>
      </c>
      <c r="G238" s="18">
        <v>130799</v>
      </c>
      <c r="H238" s="18">
        <f>7986+313</f>
        <v>8299</v>
      </c>
      <c r="I238" s="18">
        <v>5424</v>
      </c>
      <c r="J238" s="18"/>
      <c r="K238" s="18"/>
      <c r="L238" s="19">
        <f t="shared" ref="L238:L244" si="4">SUM(F238:K238)</f>
        <v>417458</v>
      </c>
      <c r="M238" s="8"/>
      <c r="N238" s="266"/>
    </row>
    <row r="239" spans="1:14" s="3" customFormat="1" ht="12.2" customHeight="1" x14ac:dyDescent="0.15">
      <c r="A239" s="1" t="s">
        <v>443</v>
      </c>
      <c r="B239" s="2" t="s">
        <v>350</v>
      </c>
      <c r="C239" s="2" t="s">
        <v>295</v>
      </c>
      <c r="D239" s="2" t="s">
        <v>431</v>
      </c>
      <c r="E239" s="6">
        <v>2200</v>
      </c>
      <c r="F239" s="18">
        <v>159490</v>
      </c>
      <c r="G239" s="18">
        <f>12074+73038</f>
        <v>85112</v>
      </c>
      <c r="H239" s="18">
        <f>17203+2097</f>
        <v>19300</v>
      </c>
      <c r="I239" s="18">
        <v>30894</v>
      </c>
      <c r="J239" s="18">
        <f>15139+1440</f>
        <v>16579</v>
      </c>
      <c r="K239" s="18"/>
      <c r="L239" s="19">
        <f t="shared" si="4"/>
        <v>311375</v>
      </c>
      <c r="M239" s="8"/>
      <c r="N239" s="266"/>
    </row>
    <row r="240" spans="1:14" s="3" customFormat="1" ht="12.2" customHeight="1" x14ac:dyDescent="0.15">
      <c r="A240" s="1" t="s">
        <v>444</v>
      </c>
      <c r="B240" s="2" t="s">
        <v>350</v>
      </c>
      <c r="C240" s="2" t="s">
        <v>296</v>
      </c>
      <c r="D240" s="2" t="s">
        <v>431</v>
      </c>
      <c r="E240" s="6">
        <v>2300</v>
      </c>
      <c r="F240" s="18">
        <v>103753</v>
      </c>
      <c r="G240" s="18">
        <f>1535+59946</f>
        <v>61481</v>
      </c>
      <c r="H240" s="18">
        <v>14024</v>
      </c>
      <c r="I240" s="18">
        <f>13739+250</f>
        <v>13989</v>
      </c>
      <c r="J240" s="18"/>
      <c r="K240" s="18">
        <v>3747</v>
      </c>
      <c r="L240" s="19">
        <f t="shared" si="4"/>
        <v>196994</v>
      </c>
      <c r="M240" s="8"/>
      <c r="N240" s="266"/>
    </row>
    <row r="241" spans="1:14" s="3" customFormat="1" ht="12.2" customHeight="1" x14ac:dyDescent="0.15">
      <c r="A241" s="1" t="s">
        <v>445</v>
      </c>
      <c r="B241" s="2" t="s">
        <v>350</v>
      </c>
      <c r="C241" s="2" t="s">
        <v>297</v>
      </c>
      <c r="D241" s="2" t="s">
        <v>431</v>
      </c>
      <c r="E241" s="6">
        <v>2400</v>
      </c>
      <c r="F241" s="18">
        <v>140613</v>
      </c>
      <c r="G241" s="18">
        <v>53646</v>
      </c>
      <c r="H241" s="18">
        <v>4359</v>
      </c>
      <c r="I241" s="18">
        <v>6122</v>
      </c>
      <c r="J241" s="18"/>
      <c r="K241" s="18">
        <v>3782</v>
      </c>
      <c r="L241" s="19">
        <f t="shared" si="4"/>
        <v>208522</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81126</v>
      </c>
      <c r="G243" s="18">
        <v>57221</v>
      </c>
      <c r="H243" s="18">
        <f>136745+25709+4918+1667+43752+3734+11028</f>
        <v>227553</v>
      </c>
      <c r="I243" s="18">
        <v>151207</v>
      </c>
      <c r="J243" s="18">
        <f>14581+6000</f>
        <v>20581</v>
      </c>
      <c r="K243" s="18"/>
      <c r="L243" s="19">
        <f t="shared" si="4"/>
        <v>537688</v>
      </c>
      <c r="M243" s="8"/>
      <c r="N243" s="266"/>
    </row>
    <row r="244" spans="1:14" s="3" customFormat="1" ht="12.2" customHeight="1" x14ac:dyDescent="0.15">
      <c r="A244" s="1" t="s">
        <v>448</v>
      </c>
      <c r="B244" s="2" t="s">
        <v>350</v>
      </c>
      <c r="C244" s="2" t="s">
        <v>300</v>
      </c>
      <c r="D244" s="2" t="s">
        <v>431</v>
      </c>
      <c r="E244" s="6">
        <v>2700</v>
      </c>
      <c r="F244" s="18">
        <v>90244</v>
      </c>
      <c r="G244" s="18">
        <f>287+54886</f>
        <v>55173</v>
      </c>
      <c r="H244" s="18">
        <f>10394+1606</f>
        <v>12000</v>
      </c>
      <c r="I244" s="18">
        <f>5770+681</f>
        <v>6451</v>
      </c>
      <c r="J244" s="18">
        <v>26010</v>
      </c>
      <c r="K244" s="18">
        <v>68</v>
      </c>
      <c r="L244" s="19">
        <f t="shared" si="4"/>
        <v>189946</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2191038</v>
      </c>
      <c r="G247" s="41">
        <f t="shared" si="5"/>
        <v>1229301</v>
      </c>
      <c r="H247" s="41">
        <f t="shared" si="5"/>
        <v>826027</v>
      </c>
      <c r="I247" s="41">
        <f t="shared" si="5"/>
        <v>294929</v>
      </c>
      <c r="J247" s="41">
        <f t="shared" si="5"/>
        <v>74147</v>
      </c>
      <c r="K247" s="41">
        <f t="shared" si="5"/>
        <v>11846</v>
      </c>
      <c r="L247" s="41">
        <f t="shared" si="5"/>
        <v>4627288</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6176202</v>
      </c>
      <c r="G257" s="41">
        <f t="shared" si="8"/>
        <v>3525284</v>
      </c>
      <c r="H257" s="41">
        <f t="shared" si="8"/>
        <v>1246297</v>
      </c>
      <c r="I257" s="41">
        <f t="shared" si="8"/>
        <v>696744</v>
      </c>
      <c r="J257" s="41">
        <f t="shared" si="8"/>
        <v>260144</v>
      </c>
      <c r="K257" s="41">
        <f t="shared" si="8"/>
        <v>26241</v>
      </c>
      <c r="L257" s="41">
        <f t="shared" si="8"/>
        <v>11930912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75000</v>
      </c>
      <c r="L266" s="19">
        <f t="shared" si="9"/>
        <v>75000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75000</v>
      </c>
      <c r="L270" s="41">
        <f t="shared" si="9"/>
        <v>75000</v>
      </c>
      <c r="N270" s="264"/>
    </row>
    <row r="271" spans="1:14" s="3" customFormat="1" ht="12.2" customHeight="1" thickTop="1" x14ac:dyDescent="0.2">
      <c r="A271" s="43" t="s">
        <v>464</v>
      </c>
      <c r="B271" s="40">
        <v>10</v>
      </c>
      <c r="C271" s="40">
        <v>18</v>
      </c>
      <c r="D271" s="39" t="s">
        <v>431</v>
      </c>
      <c r="E271" s="40"/>
      <c r="F271" s="42">
        <f t="shared" ref="F271:L271" si="11">F257+F270</f>
        <v>6176202</v>
      </c>
      <c r="G271" s="42">
        <f t="shared" si="11"/>
        <v>3525284</v>
      </c>
      <c r="H271" s="42">
        <f t="shared" si="11"/>
        <v>1246297</v>
      </c>
      <c r="I271" s="42">
        <f t="shared" si="11"/>
        <v>696744</v>
      </c>
      <c r="J271" s="42">
        <f t="shared" si="11"/>
        <v>260144</v>
      </c>
      <c r="K271" s="42">
        <f t="shared" si="11"/>
        <v>101241</v>
      </c>
      <c r="L271" s="42">
        <f t="shared" si="11"/>
        <v>12005912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37356</f>
        <v>37356</v>
      </c>
      <c r="G276" s="18"/>
      <c r="H276" s="18"/>
      <c r="I276" s="18"/>
      <c r="J276" s="18"/>
      <c r="K276" s="18"/>
      <c r="L276" s="19">
        <f>SUM(F276:K276)</f>
        <v>37356</v>
      </c>
      <c r="M276" s="8"/>
      <c r="N276" s="266"/>
    </row>
    <row r="277" spans="1:14" s="3" customFormat="1" ht="12.2" customHeight="1" x14ac:dyDescent="0.15">
      <c r="A277" s="1" t="s">
        <v>439</v>
      </c>
      <c r="B277" s="2" t="s">
        <v>357</v>
      </c>
      <c r="C277" s="2" t="s">
        <v>291</v>
      </c>
      <c r="D277" s="2" t="s">
        <v>431</v>
      </c>
      <c r="E277" s="6">
        <v>1200</v>
      </c>
      <c r="F277" s="18">
        <v>15289</v>
      </c>
      <c r="G277" s="18"/>
      <c r="H277" s="18">
        <v>16242</v>
      </c>
      <c r="I277" s="18">
        <v>1917</v>
      </c>
      <c r="J277" s="18">
        <v>1061</v>
      </c>
      <c r="K277" s="18"/>
      <c r="L277" s="19">
        <f>SUM(F277:K277)</f>
        <v>34509</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18000</v>
      </c>
      <c r="G279" s="18"/>
      <c r="H279" s="18"/>
      <c r="I279" s="18"/>
      <c r="J279" s="18"/>
      <c r="K279" s="18"/>
      <c r="L279" s="19">
        <f>SUM(F279:K279)</f>
        <v>18000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v>8116</v>
      </c>
      <c r="I282" s="18">
        <v>1016</v>
      </c>
      <c r="J282" s="18"/>
      <c r="K282" s="18"/>
      <c r="L282" s="19">
        <f t="shared" si="12"/>
        <v>9132</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v>70</v>
      </c>
      <c r="I284" s="18"/>
      <c r="J284" s="18"/>
      <c r="K284" s="18"/>
      <c r="L284" s="19">
        <f t="shared" si="12"/>
        <v>70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v>39283</v>
      </c>
      <c r="I286" s="18"/>
      <c r="J286" s="18"/>
      <c r="K286" s="18"/>
      <c r="L286" s="19">
        <f t="shared" si="12"/>
        <v>39283</v>
      </c>
      <c r="M286" s="8"/>
      <c r="N286" s="266"/>
    </row>
    <row r="287" spans="1:14" s="3" customFormat="1" ht="12.2" customHeight="1" x14ac:dyDescent="0.15">
      <c r="A287" s="1" t="s">
        <v>448</v>
      </c>
      <c r="B287" s="2" t="s">
        <v>357</v>
      </c>
      <c r="C287" s="2" t="s">
        <v>300</v>
      </c>
      <c r="D287" s="2" t="s">
        <v>431</v>
      </c>
      <c r="E287" s="6">
        <v>2700</v>
      </c>
      <c r="F287" s="18"/>
      <c r="G287" s="18"/>
      <c r="H287" s="18"/>
      <c r="I287" s="18">
        <v>680</v>
      </c>
      <c r="J287" s="18"/>
      <c r="K287" s="18"/>
      <c r="L287" s="19">
        <f t="shared" si="12"/>
        <v>680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70645</v>
      </c>
      <c r="G290" s="42">
        <f t="shared" si="13"/>
        <v>0</v>
      </c>
      <c r="H290" s="42">
        <f t="shared" si="13"/>
        <v>63711</v>
      </c>
      <c r="I290" s="42">
        <f t="shared" si="13"/>
        <v>3613</v>
      </c>
      <c r="J290" s="42">
        <f t="shared" si="13"/>
        <v>1061</v>
      </c>
      <c r="K290" s="42">
        <f t="shared" si="13"/>
        <v>0</v>
      </c>
      <c r="L290" s="41">
        <f t="shared" si="13"/>
        <v>139030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v>15289</v>
      </c>
      <c r="G296" s="18"/>
      <c r="H296" s="18">
        <v>16242</v>
      </c>
      <c r="I296" s="18">
        <v>1917</v>
      </c>
      <c r="J296" s="18">
        <v>1061</v>
      </c>
      <c r="K296" s="18"/>
      <c r="L296" s="19">
        <f>SUM(F296:K296)</f>
        <v>34509</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v>8117</v>
      </c>
      <c r="I301" s="18">
        <v>1017</v>
      </c>
      <c r="J301" s="18"/>
      <c r="K301" s="18"/>
      <c r="L301" s="19">
        <f t="shared" si="14"/>
        <v>9134</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v>70</v>
      </c>
      <c r="I303" s="18"/>
      <c r="J303" s="18"/>
      <c r="K303" s="18"/>
      <c r="L303" s="19">
        <f t="shared" si="14"/>
        <v>70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v>680</v>
      </c>
      <c r="J305" s="18"/>
      <c r="K305" s="18"/>
      <c r="L305" s="19">
        <f t="shared" si="14"/>
        <v>680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15289</v>
      </c>
      <c r="G309" s="42">
        <f t="shared" si="15"/>
        <v>0</v>
      </c>
      <c r="H309" s="42">
        <f t="shared" si="15"/>
        <v>24429</v>
      </c>
      <c r="I309" s="42">
        <f t="shared" si="15"/>
        <v>3614</v>
      </c>
      <c r="J309" s="42">
        <f t="shared" si="15"/>
        <v>1061</v>
      </c>
      <c r="K309" s="42">
        <f t="shared" si="15"/>
        <v>0</v>
      </c>
      <c r="L309" s="41">
        <f t="shared" si="15"/>
        <v>44393</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v>15289</v>
      </c>
      <c r="G315" s="18"/>
      <c r="H315" s="18">
        <v>16243</v>
      </c>
      <c r="I315" s="18">
        <v>1916</v>
      </c>
      <c r="J315" s="18">
        <v>1060</v>
      </c>
      <c r="K315" s="18"/>
      <c r="L315" s="19">
        <f>SUM(F315:K315)</f>
        <v>34508</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f>15932+16581+1017</f>
        <v>33530</v>
      </c>
      <c r="J320" s="18"/>
      <c r="K320" s="18"/>
      <c r="L320" s="19">
        <f t="shared" si="16"/>
        <v>33530</v>
      </c>
      <c r="M320" s="8"/>
      <c r="N320" s="266"/>
    </row>
    <row r="321" spans="1:14" s="3" customFormat="1" ht="12.2" customHeight="1" x14ac:dyDescent="0.15">
      <c r="A321" s="1" t="s">
        <v>444</v>
      </c>
      <c r="B321" s="2" t="s">
        <v>359</v>
      </c>
      <c r="C321" s="2" t="s">
        <v>296</v>
      </c>
      <c r="D321" s="2" t="s">
        <v>431</v>
      </c>
      <c r="E321" s="6">
        <v>2300</v>
      </c>
      <c r="F321" s="18"/>
      <c r="G321" s="18"/>
      <c r="H321" s="18">
        <v>8117</v>
      </c>
      <c r="I321" s="18"/>
      <c r="J321" s="18"/>
      <c r="K321" s="18"/>
      <c r="L321" s="19">
        <f t="shared" si="16"/>
        <v>8117</v>
      </c>
      <c r="M321" s="8"/>
      <c r="N321" s="266"/>
    </row>
    <row r="322" spans="1:14" s="3" customFormat="1" ht="12.2" customHeight="1" x14ac:dyDescent="0.15">
      <c r="A322" s="1" t="s">
        <v>445</v>
      </c>
      <c r="B322" s="2" t="s">
        <v>359</v>
      </c>
      <c r="C322" s="2" t="s">
        <v>297</v>
      </c>
      <c r="D322" s="2" t="s">
        <v>431</v>
      </c>
      <c r="E322" s="6">
        <v>2400</v>
      </c>
      <c r="F322" s="18"/>
      <c r="G322" s="18"/>
      <c r="H322" s="18">
        <v>71</v>
      </c>
      <c r="I322" s="18"/>
      <c r="J322" s="18"/>
      <c r="K322" s="18"/>
      <c r="L322" s="19">
        <f t="shared" si="16"/>
        <v>71</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v>680</v>
      </c>
      <c r="J325" s="18"/>
      <c r="K325" s="18"/>
      <c r="L325" s="19">
        <f t="shared" si="16"/>
        <v>680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15289</v>
      </c>
      <c r="G328" s="42">
        <f t="shared" si="17"/>
        <v>0</v>
      </c>
      <c r="H328" s="42">
        <f t="shared" si="17"/>
        <v>24431</v>
      </c>
      <c r="I328" s="42">
        <f t="shared" si="17"/>
        <v>36126</v>
      </c>
      <c r="J328" s="42">
        <f t="shared" si="17"/>
        <v>1060</v>
      </c>
      <c r="K328" s="42">
        <f t="shared" si="17"/>
        <v>0</v>
      </c>
      <c r="L328" s="41">
        <f t="shared" si="17"/>
        <v>76906</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101223</v>
      </c>
      <c r="G338" s="41">
        <f t="shared" si="20"/>
        <v>0</v>
      </c>
      <c r="H338" s="41">
        <f t="shared" si="20"/>
        <v>112571</v>
      </c>
      <c r="I338" s="41">
        <f t="shared" si="20"/>
        <v>43353</v>
      </c>
      <c r="J338" s="41">
        <f t="shared" si="20"/>
        <v>3182</v>
      </c>
      <c r="K338" s="41">
        <f t="shared" si="20"/>
        <v>0</v>
      </c>
      <c r="L338" s="41">
        <f t="shared" si="20"/>
        <v>260329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101223</v>
      </c>
      <c r="G352" s="41">
        <f>G338</f>
        <v>0</v>
      </c>
      <c r="H352" s="41">
        <f>H338</f>
        <v>112571</v>
      </c>
      <c r="I352" s="41">
        <f>I338</f>
        <v>43353</v>
      </c>
      <c r="J352" s="41">
        <f>J338</f>
        <v>3182</v>
      </c>
      <c r="K352" s="47">
        <f>K338+K351</f>
        <v>0</v>
      </c>
      <c r="L352" s="41">
        <f>L338+L351</f>
        <v>260329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27432</v>
      </c>
      <c r="G358" s="18"/>
      <c r="H358" s="18">
        <v>1058</v>
      </c>
      <c r="I358" s="18">
        <v>27345</v>
      </c>
      <c r="J358" s="18"/>
      <c r="K358" s="18"/>
      <c r="L358" s="13">
        <f>SUM(F358:K358)</f>
        <v>55835</v>
      </c>
      <c r="N358" s="264"/>
      <c r="R358" s="3"/>
      <c r="S358" s="3"/>
      <c r="T358" s="3"/>
      <c r="U358" s="3"/>
      <c r="V358" s="3"/>
    </row>
    <row r="359" spans="1:22" s="3" customFormat="1" ht="12.2" customHeight="1" x14ac:dyDescent="0.15">
      <c r="A359" s="1" t="s">
        <v>542</v>
      </c>
      <c r="B359" s="2" t="s">
        <v>366</v>
      </c>
      <c r="C359" s="6">
        <v>2</v>
      </c>
      <c r="D359" s="2" t="s">
        <v>431</v>
      </c>
      <c r="E359" s="6"/>
      <c r="F359" s="18">
        <v>27432</v>
      </c>
      <c r="G359" s="18"/>
      <c r="H359" s="18">
        <v>1058</v>
      </c>
      <c r="I359" s="18">
        <v>27345</v>
      </c>
      <c r="J359" s="18"/>
      <c r="K359" s="18"/>
      <c r="L359" s="19">
        <f>SUM(F359:K359)</f>
        <v>55835</v>
      </c>
      <c r="M359" s="8"/>
      <c r="N359" s="266"/>
    </row>
    <row r="360" spans="1:22" s="3" customFormat="1" ht="12.2" customHeight="1" x14ac:dyDescent="0.15">
      <c r="A360" s="3" t="s">
        <v>543</v>
      </c>
      <c r="B360" s="2" t="s">
        <v>366</v>
      </c>
      <c r="C360" s="6">
        <v>3</v>
      </c>
      <c r="D360" s="2" t="s">
        <v>431</v>
      </c>
      <c r="E360" s="6"/>
      <c r="F360" s="18">
        <v>27433</v>
      </c>
      <c r="G360" s="18"/>
      <c r="H360" s="18">
        <v>1057</v>
      </c>
      <c r="I360" s="18">
        <v>27345</v>
      </c>
      <c r="J360" s="18"/>
      <c r="K360" s="18">
        <v>1618</v>
      </c>
      <c r="L360" s="19">
        <f>SUM(F360:K360)</f>
        <v>57453</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82297</v>
      </c>
      <c r="G362" s="47">
        <f t="shared" si="22"/>
        <v>0</v>
      </c>
      <c r="H362" s="47">
        <f t="shared" si="22"/>
        <v>3173</v>
      </c>
      <c r="I362" s="47">
        <f t="shared" si="22"/>
        <v>82035</v>
      </c>
      <c r="J362" s="47">
        <f t="shared" si="22"/>
        <v>0</v>
      </c>
      <c r="K362" s="47">
        <f t="shared" si="22"/>
        <v>1618</v>
      </c>
      <c r="L362" s="47">
        <f t="shared" si="22"/>
        <v>169123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27173</v>
      </c>
      <c r="G367" s="18">
        <v>27173</v>
      </c>
      <c r="H367" s="18">
        <v>27173</v>
      </c>
      <c r="I367" s="56">
        <f>SUM(F367:H367)</f>
        <v>81519</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172</v>
      </c>
      <c r="G368" s="63">
        <v>172</v>
      </c>
      <c r="H368" s="63">
        <v>172</v>
      </c>
      <c r="I368" s="56">
        <f>SUM(F368:H368)</f>
        <v>516</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27345</v>
      </c>
      <c r="G369" s="47">
        <f>SUM(G367:G368)</f>
        <v>27345</v>
      </c>
      <c r="H369" s="47">
        <f>SUM(H367:H368)</f>
        <v>27345</v>
      </c>
      <c r="I369" s="47">
        <f>SUM(I367:I368)</f>
        <v>82035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v>75000</v>
      </c>
      <c r="H392" s="18">
        <v>17515</v>
      </c>
      <c r="I392" s="18"/>
      <c r="J392" s="24" t="s">
        <v>288</v>
      </c>
      <c r="K392" s="24" t="s">
        <v>288</v>
      </c>
      <c r="L392" s="56">
        <f t="shared" si="25"/>
        <v>92515</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75000</v>
      </c>
      <c r="H393" s="139">
        <f>SUM(H387:H392)</f>
        <v>17515</v>
      </c>
      <c r="I393" s="65">
        <f>SUM(I387:I392)</f>
        <v>0</v>
      </c>
      <c r="J393" s="45" t="s">
        <v>288</v>
      </c>
      <c r="K393" s="45" t="s">
        <v>288</v>
      </c>
      <c r="L393" s="47">
        <f>SUM(L387:L392)</f>
        <v>92515</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75000</v>
      </c>
      <c r="H408" s="47">
        <f>H393+H401+H407</f>
        <v>17515</v>
      </c>
      <c r="I408" s="47">
        <f>I393+I401+I407</f>
        <v>0</v>
      </c>
      <c r="J408" s="24" t="s">
        <v>288</v>
      </c>
      <c r="K408" s="24" t="s">
        <v>288</v>
      </c>
      <c r="L408" s="47">
        <f>L393+L401+L407</f>
        <v>92515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v>129673</v>
      </c>
      <c r="I415" s="18"/>
      <c r="J415" s="18"/>
      <c r="K415" s="18"/>
      <c r="L415" s="56">
        <f t="shared" si="27"/>
        <v>129673</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v>1250</v>
      </c>
      <c r="I418" s="18"/>
      <c r="J418" s="18"/>
      <c r="K418" s="18"/>
      <c r="L418" s="56">
        <f t="shared" si="27"/>
        <v>1250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130923</v>
      </c>
      <c r="I419" s="139">
        <f t="shared" si="28"/>
        <v>0</v>
      </c>
      <c r="J419" s="139">
        <f t="shared" si="28"/>
        <v>0</v>
      </c>
      <c r="K419" s="139">
        <f t="shared" si="28"/>
        <v>0</v>
      </c>
      <c r="L419" s="47">
        <f t="shared" si="28"/>
        <v>130923</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130923</v>
      </c>
      <c r="I434" s="47">
        <f t="shared" si="32"/>
        <v>0</v>
      </c>
      <c r="J434" s="47">
        <f t="shared" si="32"/>
        <v>0</v>
      </c>
      <c r="K434" s="47">
        <f t="shared" si="32"/>
        <v>0</v>
      </c>
      <c r="L434" s="47">
        <f t="shared" si="32"/>
        <v>130923</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983703</v>
      </c>
      <c r="G442" s="18">
        <v>129618</v>
      </c>
      <c r="H442" s="18"/>
      <c r="I442" s="56">
        <f t="shared" si="33"/>
        <v>1113321</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983703</v>
      </c>
      <c r="G446" s="13">
        <f>SUM(G439:G445)</f>
        <v>129618</v>
      </c>
      <c r="H446" s="13">
        <f>SUM(H439:H445)</f>
        <v>0</v>
      </c>
      <c r="I446" s="13">
        <f>SUM(I439:I445)</f>
        <v>1113321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v>129673</v>
      </c>
      <c r="G448" s="18"/>
      <c r="H448" s="18"/>
      <c r="I448" s="56">
        <f>SUM(F448:H448)</f>
        <v>129673</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129673</v>
      </c>
      <c r="G452" s="72">
        <f>SUM(G448:G451)</f>
        <v>0</v>
      </c>
      <c r="H452" s="72">
        <f>SUM(H448:H451)</f>
        <v>0</v>
      </c>
      <c r="I452" s="72">
        <f>SUM(I448:I451)</f>
        <v>129673</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854030</v>
      </c>
      <c r="G459" s="18">
        <v>129618</v>
      </c>
      <c r="H459" s="18"/>
      <c r="I459" s="56">
        <f t="shared" si="34"/>
        <v>983648</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854030</v>
      </c>
      <c r="G460" s="83">
        <f>SUM(G454:G459)</f>
        <v>129618</v>
      </c>
      <c r="H460" s="83">
        <f>SUM(H454:H459)</f>
        <v>0</v>
      </c>
      <c r="I460" s="83">
        <f>SUM(I454:I459)</f>
        <v>983648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983703</v>
      </c>
      <c r="G461" s="42">
        <f>G452+G460</f>
        <v>129618</v>
      </c>
      <c r="H461" s="42">
        <f>H452+H460</f>
        <v>0</v>
      </c>
      <c r="I461" s="42">
        <f>I452+I460</f>
        <v>1113321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f>893028</f>
        <v>893028</v>
      </c>
      <c r="G465" s="18">
        <v>41707</v>
      </c>
      <c r="H465" s="18">
        <v>0</v>
      </c>
      <c r="I465" s="18">
        <v>0</v>
      </c>
      <c r="J465" s="18">
        <v>1022056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11855658</v>
      </c>
      <c r="G468" s="18">
        <v>165120</v>
      </c>
      <c r="H468" s="18">
        <v>260329</v>
      </c>
      <c r="I468" s="18"/>
      <c r="J468" s="18">
        <v>92515</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11855658</v>
      </c>
      <c r="G470" s="53">
        <f>SUM(G468:G469)</f>
        <v>165120</v>
      </c>
      <c r="H470" s="53">
        <f>SUM(H468:H469)</f>
        <v>260329</v>
      </c>
      <c r="I470" s="53">
        <f>SUM(I468:I469)</f>
        <v>0</v>
      </c>
      <c r="J470" s="53">
        <f>SUM(J468:J469)</f>
        <v>92515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12005912</v>
      </c>
      <c r="G472" s="18">
        <v>169123</v>
      </c>
      <c r="H472" s="18">
        <v>260329</v>
      </c>
      <c r="I472" s="18"/>
      <c r="J472" s="18">
        <v>130923</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12005912</v>
      </c>
      <c r="G474" s="53">
        <f>SUM(G472:G473)</f>
        <v>169123</v>
      </c>
      <c r="H474" s="53">
        <f>SUM(H472:H473)</f>
        <v>260329</v>
      </c>
      <c r="I474" s="53">
        <f>SUM(I472:I473)</f>
        <v>0</v>
      </c>
      <c r="J474" s="53">
        <f>SUM(J472:J473)</f>
        <v>130923</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742774</v>
      </c>
      <c r="G476" s="53">
        <f>(G465+G470)- G474</f>
        <v>37704</v>
      </c>
      <c r="H476" s="53">
        <f>(H465+H470)- H474</f>
        <v>0</v>
      </c>
      <c r="I476" s="53">
        <f>(I465+I470)- I474</f>
        <v>0</v>
      </c>
      <c r="J476" s="53">
        <f>(J465+J470)- J474</f>
        <v>983648</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348666+15289</f>
        <v>363955</v>
      </c>
      <c r="G521" s="18">
        <v>164236</v>
      </c>
      <c r="H521" s="18">
        <f>678+16242</f>
        <v>16920</v>
      </c>
      <c r="I521" s="18">
        <f>4961+1917</f>
        <v>6878</v>
      </c>
      <c r="J521" s="18">
        <f>2063+1061</f>
        <v>3124</v>
      </c>
      <c r="K521" s="18">
        <f>702</f>
        <v>702</v>
      </c>
      <c r="L521" s="88">
        <f>SUM(F521:K521)</f>
        <v>555815</v>
      </c>
      <c r="N521" s="265"/>
    </row>
    <row r="522" spans="1:14" s="52" customFormat="1" ht="12.2" customHeight="1" x14ac:dyDescent="0.2">
      <c r="A522" s="22" t="s">
        <v>634</v>
      </c>
      <c r="B522" s="105">
        <v>21</v>
      </c>
      <c r="C522" s="115">
        <v>2</v>
      </c>
      <c r="D522" s="2" t="s">
        <v>432</v>
      </c>
      <c r="E522" s="115"/>
      <c r="F522" s="18">
        <f>208415+15289</f>
        <v>223704</v>
      </c>
      <c r="G522" s="18">
        <v>164236</v>
      </c>
      <c r="H522" s="18">
        <f>678+16242</f>
        <v>16920</v>
      </c>
      <c r="I522" s="18">
        <f>3862+1917</f>
        <v>5779</v>
      </c>
      <c r="J522" s="18">
        <f>1061+1180</f>
        <v>2241</v>
      </c>
      <c r="K522" s="18">
        <v>702</v>
      </c>
      <c r="L522" s="88">
        <f>SUM(F522:K522)</f>
        <v>413582</v>
      </c>
      <c r="N522" s="265"/>
    </row>
    <row r="523" spans="1:14" s="52" customFormat="1" ht="12.2" customHeight="1" thickBot="1" x14ac:dyDescent="0.25">
      <c r="A523" s="22" t="s">
        <v>635</v>
      </c>
      <c r="B523" s="105">
        <v>21</v>
      </c>
      <c r="C523" s="115">
        <v>3</v>
      </c>
      <c r="D523" s="2" t="s">
        <v>432</v>
      </c>
      <c r="E523" s="115"/>
      <c r="F523" s="18">
        <f>288493+15289</f>
        <v>303782</v>
      </c>
      <c r="G523" s="18">
        <v>169213</v>
      </c>
      <c r="H523" s="18">
        <f>515814+16243</f>
        <v>532057</v>
      </c>
      <c r="I523" s="18">
        <f>4546+1916</f>
        <v>6462</v>
      </c>
      <c r="J523" s="18">
        <f>1060+1771</f>
        <v>2831</v>
      </c>
      <c r="K523" s="18">
        <v>703</v>
      </c>
      <c r="L523" s="88">
        <f>SUM(F523:K523)</f>
        <v>1015048</v>
      </c>
      <c r="N523" s="265"/>
    </row>
    <row r="524" spans="1:14" s="52" customFormat="1" ht="12.2" customHeight="1" thickTop="1" x14ac:dyDescent="0.2">
      <c r="A524" s="139" t="s">
        <v>63</v>
      </c>
      <c r="B524" s="107">
        <v>21</v>
      </c>
      <c r="C524" s="195">
        <v>4</v>
      </c>
      <c r="D524" s="196" t="s">
        <v>432</v>
      </c>
      <c r="E524" s="195"/>
      <c r="F524" s="108">
        <f>SUM(F521:F523)</f>
        <v>891441</v>
      </c>
      <c r="G524" s="108">
        <f t="shared" ref="G524:L524" si="36">SUM(G521:G523)</f>
        <v>497685</v>
      </c>
      <c r="H524" s="108">
        <f t="shared" si="36"/>
        <v>565897</v>
      </c>
      <c r="I524" s="108">
        <f t="shared" si="36"/>
        <v>19119</v>
      </c>
      <c r="J524" s="108">
        <f t="shared" si="36"/>
        <v>8196</v>
      </c>
      <c r="K524" s="108">
        <f t="shared" si="36"/>
        <v>2107</v>
      </c>
      <c r="L524" s="89">
        <f t="shared" si="36"/>
        <v>1984445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93922</v>
      </c>
      <c r="G526" s="18">
        <v>126952</v>
      </c>
      <c r="H526" s="18">
        <v>4803</v>
      </c>
      <c r="I526" s="18">
        <v>986</v>
      </c>
      <c r="J526" s="18"/>
      <c r="K526" s="18"/>
      <c r="L526" s="88">
        <f>SUM(F526:K526)</f>
        <v>226663</v>
      </c>
      <c r="M526" s="8"/>
      <c r="N526" s="266"/>
    </row>
    <row r="527" spans="1:14" s="3" customFormat="1" ht="12.2" customHeight="1" x14ac:dyDescent="0.15">
      <c r="A527" s="22" t="s">
        <v>634</v>
      </c>
      <c r="B527" s="105">
        <v>21</v>
      </c>
      <c r="C527" s="115">
        <v>6</v>
      </c>
      <c r="D527" s="2" t="s">
        <v>432</v>
      </c>
      <c r="E527" s="115"/>
      <c r="F527" s="18">
        <v>93922</v>
      </c>
      <c r="G527" s="18">
        <v>126952</v>
      </c>
      <c r="H527" s="18">
        <v>4803</v>
      </c>
      <c r="I527" s="18">
        <v>985</v>
      </c>
      <c r="J527" s="18"/>
      <c r="K527" s="18"/>
      <c r="L527" s="88">
        <f>SUM(F527:K527)</f>
        <v>226662</v>
      </c>
      <c r="M527" s="8"/>
      <c r="N527" s="266"/>
    </row>
    <row r="528" spans="1:14" s="3" customFormat="1" ht="12.2" customHeight="1" thickBot="1" x14ac:dyDescent="0.2">
      <c r="A528" s="22" t="s">
        <v>635</v>
      </c>
      <c r="B528" s="118">
        <v>21</v>
      </c>
      <c r="C528" s="118">
        <v>7</v>
      </c>
      <c r="D528" s="2" t="s">
        <v>432</v>
      </c>
      <c r="E528" s="118"/>
      <c r="F528" s="18">
        <v>93922</v>
      </c>
      <c r="G528" s="18">
        <v>130799</v>
      </c>
      <c r="H528" s="18">
        <v>4803</v>
      </c>
      <c r="I528" s="18">
        <v>985</v>
      </c>
      <c r="J528" s="18"/>
      <c r="K528" s="18"/>
      <c r="L528" s="88">
        <f>SUM(F528:K528)</f>
        <v>230509</v>
      </c>
      <c r="M528" s="8"/>
      <c r="N528" s="266"/>
    </row>
    <row r="529" spans="1:14" s="3" customFormat="1" ht="12.2" customHeight="1" thickTop="1" x14ac:dyDescent="0.15">
      <c r="A529" s="139" t="s">
        <v>65</v>
      </c>
      <c r="B529" s="107">
        <v>21</v>
      </c>
      <c r="C529" s="107">
        <v>8</v>
      </c>
      <c r="D529" s="158" t="s">
        <v>432</v>
      </c>
      <c r="E529" s="107"/>
      <c r="F529" s="89">
        <f>SUM(F526:F528)</f>
        <v>281766</v>
      </c>
      <c r="G529" s="89">
        <f t="shared" ref="G529:L529" si="37">SUM(G526:G528)</f>
        <v>384703</v>
      </c>
      <c r="H529" s="89">
        <f t="shared" si="37"/>
        <v>14409</v>
      </c>
      <c r="I529" s="89">
        <f t="shared" si="37"/>
        <v>2956</v>
      </c>
      <c r="J529" s="89">
        <f t="shared" si="37"/>
        <v>0</v>
      </c>
      <c r="K529" s="89">
        <f t="shared" si="37"/>
        <v>0</v>
      </c>
      <c r="L529" s="89">
        <f t="shared" si="37"/>
        <v>683834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31273</v>
      </c>
      <c r="G531" s="18">
        <v>9169</v>
      </c>
      <c r="H531" s="18"/>
      <c r="I531" s="18"/>
      <c r="J531" s="18"/>
      <c r="K531" s="18"/>
      <c r="L531" s="88">
        <f>SUM(F531:K531)</f>
        <v>40442</v>
      </c>
      <c r="M531" s="8"/>
      <c r="N531" s="266"/>
    </row>
    <row r="532" spans="1:14" s="3" customFormat="1" ht="12.2" customHeight="1" x14ac:dyDescent="0.15">
      <c r="A532" s="22" t="s">
        <v>634</v>
      </c>
      <c r="B532" s="105">
        <v>21</v>
      </c>
      <c r="C532" s="105">
        <v>10</v>
      </c>
      <c r="D532" s="2" t="s">
        <v>432</v>
      </c>
      <c r="E532" s="105"/>
      <c r="F532" s="18">
        <v>31274</v>
      </c>
      <c r="G532" s="18">
        <v>9170</v>
      </c>
      <c r="H532" s="18"/>
      <c r="I532" s="18"/>
      <c r="J532" s="18"/>
      <c r="K532" s="18"/>
      <c r="L532" s="88">
        <f>SUM(F532:K532)</f>
        <v>40444</v>
      </c>
      <c r="M532" s="8"/>
      <c r="N532" s="266"/>
    </row>
    <row r="533" spans="1:14" s="3" customFormat="1" ht="12.2" customHeight="1" thickBot="1" x14ac:dyDescent="0.2">
      <c r="A533" s="22" t="s">
        <v>635</v>
      </c>
      <c r="B533" s="105">
        <v>21</v>
      </c>
      <c r="C533" s="105">
        <v>11</v>
      </c>
      <c r="D533" s="2" t="s">
        <v>432</v>
      </c>
      <c r="E533" s="105"/>
      <c r="F533" s="18">
        <v>31274</v>
      </c>
      <c r="G533" s="18">
        <v>9170</v>
      </c>
      <c r="H533" s="18"/>
      <c r="I533" s="18"/>
      <c r="J533" s="18"/>
      <c r="K533" s="18"/>
      <c r="L533" s="88">
        <f>SUM(F533:K533)</f>
        <v>40444</v>
      </c>
      <c r="M533" s="8"/>
      <c r="N533" s="266"/>
    </row>
    <row r="534" spans="1:14" s="3" customFormat="1" ht="12.2" customHeight="1" thickTop="1" x14ac:dyDescent="0.15">
      <c r="A534" s="139" t="s">
        <v>67</v>
      </c>
      <c r="B534" s="107">
        <v>21</v>
      </c>
      <c r="C534" s="107">
        <v>12</v>
      </c>
      <c r="D534" s="158" t="s">
        <v>432</v>
      </c>
      <c r="E534" s="107"/>
      <c r="F534" s="89">
        <f>SUM(F531:F533)</f>
        <v>93821</v>
      </c>
      <c r="G534" s="89">
        <f t="shared" ref="G534:L534" si="38">SUM(G531:G533)</f>
        <v>27509</v>
      </c>
      <c r="H534" s="89">
        <f t="shared" si="38"/>
        <v>0</v>
      </c>
      <c r="I534" s="89">
        <f t="shared" si="38"/>
        <v>0</v>
      </c>
      <c r="J534" s="89">
        <f t="shared" si="38"/>
        <v>0</v>
      </c>
      <c r="K534" s="89">
        <f t="shared" si="38"/>
        <v>0</v>
      </c>
      <c r="L534" s="89">
        <f t="shared" si="38"/>
        <v>121330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38661</v>
      </c>
      <c r="G541" s="18">
        <v>20761</v>
      </c>
      <c r="H541" s="18"/>
      <c r="I541" s="18"/>
      <c r="J541" s="18"/>
      <c r="K541" s="18"/>
      <c r="L541" s="88">
        <f>SUM(F541:K541)</f>
        <v>59422</v>
      </c>
      <c r="M541" s="8"/>
      <c r="N541" s="266"/>
    </row>
    <row r="542" spans="1:14" s="3" customFormat="1" ht="12.2" customHeight="1" x14ac:dyDescent="0.15">
      <c r="A542" s="22" t="s">
        <v>634</v>
      </c>
      <c r="B542" s="105">
        <v>21</v>
      </c>
      <c r="C542" s="105">
        <v>18</v>
      </c>
      <c r="D542" s="2" t="s">
        <v>432</v>
      </c>
      <c r="E542" s="105"/>
      <c r="F542" s="18">
        <v>31118</v>
      </c>
      <c r="G542" s="18">
        <v>16710</v>
      </c>
      <c r="H542" s="18"/>
      <c r="I542" s="18"/>
      <c r="J542" s="18"/>
      <c r="K542" s="18"/>
      <c r="L542" s="88">
        <f>SUM(F542:K542)</f>
        <v>47828</v>
      </c>
      <c r="M542" s="8"/>
      <c r="N542" s="266"/>
    </row>
    <row r="543" spans="1:14" s="3" customFormat="1" ht="12.2" customHeight="1" thickBot="1" x14ac:dyDescent="0.2">
      <c r="A543" s="22" t="s">
        <v>635</v>
      </c>
      <c r="B543" s="105">
        <v>21</v>
      </c>
      <c r="C543" s="105">
        <v>19</v>
      </c>
      <c r="D543" s="2" t="s">
        <v>432</v>
      </c>
      <c r="E543" s="105"/>
      <c r="F543" s="18">
        <v>24517</v>
      </c>
      <c r="G543" s="18">
        <v>13165</v>
      </c>
      <c r="H543" s="18"/>
      <c r="I543" s="18"/>
      <c r="J543" s="18"/>
      <c r="K543" s="18"/>
      <c r="L543" s="88">
        <f>SUM(F543:K543)</f>
        <v>37682</v>
      </c>
      <c r="M543" s="8"/>
      <c r="N543" s="266"/>
    </row>
    <row r="544" spans="1:14" s="3" customFormat="1" ht="12.2" customHeight="1" thickTop="1" thickBot="1" x14ac:dyDescent="0.2">
      <c r="A544" s="130" t="s">
        <v>71</v>
      </c>
      <c r="B544" s="191">
        <v>21</v>
      </c>
      <c r="C544" s="191">
        <v>20</v>
      </c>
      <c r="D544" s="192" t="s">
        <v>432</v>
      </c>
      <c r="E544" s="191"/>
      <c r="F544" s="193">
        <f>SUM(F541:F543)</f>
        <v>94296</v>
      </c>
      <c r="G544" s="193">
        <f t="shared" ref="G544:L544" si="40">SUM(G541:G543)</f>
        <v>50636</v>
      </c>
      <c r="H544" s="193">
        <f t="shared" si="40"/>
        <v>0</v>
      </c>
      <c r="I544" s="193">
        <f t="shared" si="40"/>
        <v>0</v>
      </c>
      <c r="J544" s="193">
        <f t="shared" si="40"/>
        <v>0</v>
      </c>
      <c r="K544" s="193">
        <f t="shared" si="40"/>
        <v>0</v>
      </c>
      <c r="L544" s="193">
        <f t="shared" si="40"/>
        <v>144932</v>
      </c>
      <c r="M544" s="8"/>
      <c r="N544" s="266"/>
    </row>
    <row r="545" spans="1:14" s="3" customFormat="1" ht="12.2" customHeight="1" thickTop="1" x14ac:dyDescent="0.15">
      <c r="A545" s="98" t="s">
        <v>72</v>
      </c>
      <c r="B545" s="107">
        <v>21</v>
      </c>
      <c r="C545" s="107">
        <v>21</v>
      </c>
      <c r="D545" s="158" t="s">
        <v>432</v>
      </c>
      <c r="E545" s="107"/>
      <c r="F545" s="89">
        <f>F524+F529+F534+F539+F544</f>
        <v>1361324</v>
      </c>
      <c r="G545" s="89">
        <f t="shared" ref="G545:L545" si="41">G524+G529+G534+G539+G544</f>
        <v>960533</v>
      </c>
      <c r="H545" s="89">
        <f t="shared" si="41"/>
        <v>580306</v>
      </c>
      <c r="I545" s="89">
        <f t="shared" si="41"/>
        <v>22075</v>
      </c>
      <c r="J545" s="89">
        <f t="shared" si="41"/>
        <v>8196</v>
      </c>
      <c r="K545" s="89">
        <f t="shared" si="41"/>
        <v>2107</v>
      </c>
      <c r="L545" s="89">
        <f t="shared" si="41"/>
        <v>2934541</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555815</v>
      </c>
      <c r="G549" s="87">
        <f>L526</f>
        <v>226663</v>
      </c>
      <c r="H549" s="87">
        <f>L531</f>
        <v>40442</v>
      </c>
      <c r="I549" s="87">
        <f>L536</f>
        <v>0</v>
      </c>
      <c r="J549" s="87">
        <f>L541</f>
        <v>59422</v>
      </c>
      <c r="K549" s="87">
        <f>SUM(F549:J549)</f>
        <v>882342</v>
      </c>
      <c r="L549" s="24" t="s">
        <v>288</v>
      </c>
      <c r="M549" s="8"/>
      <c r="N549" s="266"/>
    </row>
    <row r="550" spans="1:14" s="3" customFormat="1" ht="12.2" customHeight="1" x14ac:dyDescent="0.15">
      <c r="A550" s="22" t="s">
        <v>634</v>
      </c>
      <c r="B550" s="75">
        <v>21</v>
      </c>
      <c r="C550" s="75">
        <v>23</v>
      </c>
      <c r="D550" s="2" t="s">
        <v>432</v>
      </c>
      <c r="E550" s="75"/>
      <c r="F550" s="87">
        <f>L522</f>
        <v>413582</v>
      </c>
      <c r="G550" s="87">
        <f>L527</f>
        <v>226662</v>
      </c>
      <c r="H550" s="87">
        <f>L532</f>
        <v>40444</v>
      </c>
      <c r="I550" s="87">
        <f>L537</f>
        <v>0</v>
      </c>
      <c r="J550" s="87">
        <f>L542</f>
        <v>47828</v>
      </c>
      <c r="K550" s="87">
        <f>SUM(F550:J550)</f>
        <v>728516</v>
      </c>
      <c r="L550" s="24" t="s">
        <v>288</v>
      </c>
      <c r="M550" s="8"/>
      <c r="N550" s="266"/>
    </row>
    <row r="551" spans="1:14" s="3" customFormat="1" ht="12.2" customHeight="1" thickBot="1" x14ac:dyDescent="0.2">
      <c r="A551" s="22" t="s">
        <v>635</v>
      </c>
      <c r="B551" s="75">
        <v>21</v>
      </c>
      <c r="C551" s="75">
        <v>24</v>
      </c>
      <c r="D551" s="2" t="s">
        <v>432</v>
      </c>
      <c r="E551" s="75"/>
      <c r="F551" s="87">
        <f>L523</f>
        <v>1015048</v>
      </c>
      <c r="G551" s="87">
        <f>L528</f>
        <v>230509</v>
      </c>
      <c r="H551" s="87">
        <f>L533</f>
        <v>40444</v>
      </c>
      <c r="I551" s="87">
        <f>L538</f>
        <v>0</v>
      </c>
      <c r="J551" s="87">
        <f>L543</f>
        <v>37682</v>
      </c>
      <c r="K551" s="87">
        <f>SUM(F551:J551)</f>
        <v>1323683</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1984445</v>
      </c>
      <c r="G552" s="89">
        <f t="shared" si="42"/>
        <v>683834</v>
      </c>
      <c r="H552" s="89">
        <f t="shared" si="42"/>
        <v>121330</v>
      </c>
      <c r="I552" s="89">
        <f t="shared" si="42"/>
        <v>0</v>
      </c>
      <c r="J552" s="89">
        <f t="shared" si="42"/>
        <v>144932</v>
      </c>
      <c r="K552" s="89">
        <f t="shared" si="42"/>
        <v>2934541</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v>444052</v>
      </c>
      <c r="I582" s="87">
        <f t="shared" si="47"/>
        <v>444052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3939</v>
      </c>
      <c r="I584" s="87">
        <f t="shared" si="47"/>
        <v>3939</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234517+1606+681+53272-20761</f>
        <v>269315</v>
      </c>
      <c r="I591" s="18">
        <f>78173+1606+681+53272-16710</f>
        <v>117022</v>
      </c>
      <c r="J591" s="18">
        <f>78173+1606+681+54886-13165</f>
        <v>122181</v>
      </c>
      <c r="K591" s="104">
        <f t="shared" ref="K591:K597" si="48">SUM(H591:J591)</f>
        <v>508518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59422</v>
      </c>
      <c r="I592" s="18">
        <v>47828</v>
      </c>
      <c r="J592" s="18">
        <v>37682</v>
      </c>
      <c r="K592" s="104">
        <f t="shared" si="48"/>
        <v>144932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3061</v>
      </c>
      <c r="K593" s="104">
        <f t="shared" si="48"/>
        <v>3061</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v>23391</v>
      </c>
      <c r="K594" s="104">
        <f t="shared" si="48"/>
        <v>23391</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2837</v>
      </c>
      <c r="I595" s="18">
        <v>2420</v>
      </c>
      <c r="J595" s="18">
        <v>3631</v>
      </c>
      <c r="K595" s="104">
        <f t="shared" si="48"/>
        <v>8888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331574</v>
      </c>
      <c r="I598" s="108">
        <f>SUM(I591:I597)</f>
        <v>167270</v>
      </c>
      <c r="J598" s="108">
        <f>SUM(J591:J597)</f>
        <v>189946</v>
      </c>
      <c r="K598" s="108">
        <f>SUM(K591:K597)</f>
        <v>688790</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123895+1061+2892</f>
        <v>127848</v>
      </c>
      <c r="I604" s="18">
        <f>54250+1061+960+4000</f>
        <v>60271</v>
      </c>
      <c r="J604" s="18">
        <f>66707+1060+1440+6000</f>
        <v>75207</v>
      </c>
      <c r="K604" s="104">
        <f>SUM(H604:J604)</f>
        <v>263326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127848</v>
      </c>
      <c r="I605" s="108">
        <f>SUM(I602:I604)</f>
        <v>60271</v>
      </c>
      <c r="J605" s="108">
        <f>SUM(J602:J604)</f>
        <v>75207</v>
      </c>
      <c r="K605" s="108">
        <f>SUM(K602:K604)</f>
        <v>263326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15044</v>
      </c>
      <c r="G611" s="18"/>
      <c r="H611" s="18"/>
      <c r="I611" s="18"/>
      <c r="J611" s="18"/>
      <c r="K611" s="18"/>
      <c r="L611" s="88">
        <f>SUM(F611:K611)</f>
        <v>15044</v>
      </c>
      <c r="M611" s="8"/>
      <c r="N611" s="266"/>
    </row>
    <row r="612" spans="1:14" s="3" customFormat="1" ht="12.2" customHeight="1" x14ac:dyDescent="0.15">
      <c r="A612" s="22" t="s">
        <v>634</v>
      </c>
      <c r="B612" s="75">
        <v>23</v>
      </c>
      <c r="C612" s="75">
        <v>14</v>
      </c>
      <c r="D612" s="2" t="s">
        <v>432</v>
      </c>
      <c r="E612" s="75"/>
      <c r="F612" s="18">
        <v>8590</v>
      </c>
      <c r="G612" s="18"/>
      <c r="H612" s="18"/>
      <c r="I612" s="18"/>
      <c r="J612" s="18"/>
      <c r="K612" s="18"/>
      <c r="L612" s="88">
        <f>SUM(F612:K612)</f>
        <v>8590</v>
      </c>
      <c r="M612" s="8"/>
      <c r="N612" s="266"/>
    </row>
    <row r="613" spans="1:14" s="3" customFormat="1" ht="12.2" customHeight="1" thickBot="1" x14ac:dyDescent="0.2">
      <c r="A613" s="22" t="s">
        <v>645</v>
      </c>
      <c r="B613" s="75">
        <v>23</v>
      </c>
      <c r="C613" s="75">
        <v>15</v>
      </c>
      <c r="D613" s="2" t="s">
        <v>432</v>
      </c>
      <c r="E613" s="75"/>
      <c r="F613" s="18">
        <v>12884</v>
      </c>
      <c r="G613" s="18"/>
      <c r="H613" s="18"/>
      <c r="I613" s="18"/>
      <c r="J613" s="18"/>
      <c r="K613" s="18"/>
      <c r="L613" s="88">
        <f>SUM(F613:K613)</f>
        <v>12884</v>
      </c>
      <c r="M613" s="8"/>
      <c r="N613" s="266"/>
    </row>
    <row r="614" spans="1:14" s="3" customFormat="1" ht="12.2" customHeight="1" thickTop="1" x14ac:dyDescent="0.15">
      <c r="A614" s="98" t="s">
        <v>340</v>
      </c>
      <c r="B614" s="107">
        <v>23</v>
      </c>
      <c r="C614" s="107">
        <v>16</v>
      </c>
      <c r="D614" s="39" t="s">
        <v>432</v>
      </c>
      <c r="E614" s="107"/>
      <c r="F614" s="108">
        <f t="shared" ref="F614:L614" si="49">SUM(F611:F613)</f>
        <v>36518</v>
      </c>
      <c r="G614" s="108">
        <f t="shared" si="49"/>
        <v>0</v>
      </c>
      <c r="H614" s="108">
        <f t="shared" si="49"/>
        <v>0</v>
      </c>
      <c r="I614" s="108">
        <f t="shared" si="49"/>
        <v>0</v>
      </c>
      <c r="J614" s="108">
        <f t="shared" si="49"/>
        <v>0</v>
      </c>
      <c r="K614" s="108">
        <f t="shared" si="49"/>
        <v>0</v>
      </c>
      <c r="L614" s="89">
        <f t="shared" si="49"/>
        <v>36518</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746987</v>
      </c>
      <c r="H617" s="109">
        <f>SUM(F52)</f>
        <v>746987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37704</v>
      </c>
      <c r="H618" s="109">
        <f>SUM(G52)</f>
        <v>37704</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369</v>
      </c>
      <c r="H619" s="109">
        <f>SUM(H52)</f>
        <v>369</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1113321</v>
      </c>
      <c r="H621" s="109">
        <f>SUM(J52)</f>
        <v>1113321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742774</v>
      </c>
      <c r="H622" s="109">
        <f>F476</f>
        <v>742774</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37704</v>
      </c>
      <c r="H623" s="109">
        <f>G476</f>
        <v>37704</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983648</v>
      </c>
      <c r="H626" s="109">
        <f>J476</f>
        <v>983648</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11855658</v>
      </c>
      <c r="H627" s="104">
        <f>SUM(F468)</f>
        <v>11855658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165120</v>
      </c>
      <c r="H628" s="104">
        <f>SUM(G468)</f>
        <v>165120</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260329</v>
      </c>
      <c r="H629" s="104">
        <f>SUM(H468)</f>
        <v>260329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92515</v>
      </c>
      <c r="H631" s="104">
        <f>SUM(J468)</f>
        <v>92515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12005912</v>
      </c>
      <c r="H632" s="104">
        <f>SUM(F472)</f>
        <v>12005912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260329</v>
      </c>
      <c r="H633" s="104">
        <f>SUM(H472)</f>
        <v>260329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82035</v>
      </c>
      <c r="H634" s="104">
        <f>I369</f>
        <v>82035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169123</v>
      </c>
      <c r="H635" s="104">
        <f>SUM(G472)</f>
        <v>169123</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92515</v>
      </c>
      <c r="H637" s="164">
        <f>SUM(J468)</f>
        <v>92515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130923</v>
      </c>
      <c r="H638" s="164">
        <f>SUM(J472)</f>
        <v>130923</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983703</v>
      </c>
      <c r="H639" s="104">
        <f>SUM(F461)</f>
        <v>983703</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129618</v>
      </c>
      <c r="H640" s="104">
        <f>SUM(G461)</f>
        <v>129618</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1113321</v>
      </c>
      <c r="H642" s="104">
        <f>SUM(I461)</f>
        <v>1113321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17515</v>
      </c>
      <c r="H644" s="104">
        <f>H408</f>
        <v>17515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75000</v>
      </c>
      <c r="H645" s="104">
        <f>G408</f>
        <v>75000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92515</v>
      </c>
      <c r="H646" s="104">
        <f>L408</f>
        <v>92515</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688790</v>
      </c>
      <c r="H647" s="104">
        <f>L208+L226+L244</f>
        <v>688790</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263326</v>
      </c>
      <c r="H648" s="104">
        <f>(J257+J338)-(J255+J336)</f>
        <v>263326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331574</v>
      </c>
      <c r="H649" s="104">
        <f>H598</f>
        <v>331574</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167270</v>
      </c>
      <c r="H650" s="104">
        <f>I598</f>
        <v>167270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189946</v>
      </c>
      <c r="H651" s="104">
        <f>J598</f>
        <v>189946</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75000</v>
      </c>
      <c r="H655" s="104">
        <f>K266+K347</f>
        <v>75000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4251217</v>
      </c>
      <c r="G660" s="19">
        <f>(L229+L309+L359)</f>
        <v>3347500</v>
      </c>
      <c r="H660" s="19">
        <f>(L247+L328+L360)</f>
        <v>4761647</v>
      </c>
      <c r="I660" s="19">
        <f>SUM(F660:H660)</f>
        <v>12360364</v>
      </c>
      <c r="J660" s="13"/>
      <c r="K660" s="13"/>
      <c r="L660" s="13"/>
      <c r="M660" s="9"/>
    </row>
    <row r="661" spans="1:13" s="3" customFormat="1" ht="12.2" customHeight="1" x14ac:dyDescent="0.2">
      <c r="A661" s="1" t="s">
        <v>127</v>
      </c>
      <c r="F661" s="19">
        <f>(L358/IF(SUM(L358:L360)=0,1,SUM(L358:L360))*(SUM(G97:G110)))</f>
        <v>35757.272399377965</v>
      </c>
      <c r="G661" s="19">
        <f>(L359/IF(SUM(L358:L360)=0,1,SUM(L358:L360))*(SUM(G97:G110)))</f>
        <v>35757.272399377965</v>
      </c>
      <c r="H661" s="19">
        <f>(L360/IF(SUM(L358:L360)=0,1,SUM(L358:L360))*(SUM(G97:G110)))</f>
        <v>36793.455201244062</v>
      </c>
      <c r="I661" s="19">
        <f>SUM(F661:H661)</f>
        <v>108308</v>
      </c>
      <c r="J661"/>
      <c r="K661" s="13"/>
      <c r="L661" s="13"/>
      <c r="M661" s="9"/>
    </row>
    <row r="662" spans="1:13" s="3" customFormat="1" ht="12.2" customHeight="1" x14ac:dyDescent="0.2">
      <c r="A662" s="1" t="s">
        <v>128</v>
      </c>
      <c r="F662" s="19">
        <f>(L208+L287)-(J208+J287)</f>
        <v>254226</v>
      </c>
      <c r="G662" s="19">
        <f>(L226+L306)-(J226+J306)</f>
        <v>141261</v>
      </c>
      <c r="H662" s="19">
        <f>(L244+L325)-(J244+J325)</f>
        <v>164616</v>
      </c>
      <c r="I662" s="19">
        <f>SUM(F662:H662)</f>
        <v>560103</v>
      </c>
      <c r="J662"/>
      <c r="K662" s="13"/>
      <c r="L662" s="13"/>
      <c r="M662" s="8"/>
    </row>
    <row r="663" spans="1:13" s="3" customFormat="1" ht="12.2" customHeight="1" x14ac:dyDescent="0.15">
      <c r="A663" s="198" t="s">
        <v>129</v>
      </c>
      <c r="B663" s="169"/>
      <c r="C663" s="169"/>
      <c r="D663" s="169"/>
      <c r="E663" s="169"/>
      <c r="F663" s="199">
        <f>SUM(F575:F587)+SUM(H602:H604)+SUM(L611)</f>
        <v>142892</v>
      </c>
      <c r="G663" s="199">
        <f>SUM(G575:G587)+SUM(I602:I604)+L612</f>
        <v>68861</v>
      </c>
      <c r="H663" s="199">
        <f>SUM(H575:H587)+SUM(J602:J604)+L613</f>
        <v>536082</v>
      </c>
      <c r="I663" s="19">
        <f>SUM(F663:H663)</f>
        <v>747835</v>
      </c>
      <c r="J663" s="13"/>
      <c r="K663" s="13"/>
      <c r="L663" s="13"/>
      <c r="M663" s="9"/>
    </row>
    <row r="664" spans="1:13" s="3" customFormat="1" ht="12.2" customHeight="1" x14ac:dyDescent="0.15">
      <c r="A664" s="1" t="s">
        <v>130</v>
      </c>
      <c r="F664" s="19">
        <f>F660-SUM(F661:F663)</f>
        <v>3818341.727600622</v>
      </c>
      <c r="G664" s="19">
        <f>G660-SUM(G661:G663)</f>
        <v>3101620.727600622</v>
      </c>
      <c r="H664" s="19">
        <f>H660-SUM(H661:H663)</f>
        <v>4024155.544798756</v>
      </c>
      <c r="I664" s="19">
        <f>I660-SUM(I661:I663)</f>
        <v>10944118</v>
      </c>
      <c r="J664" s="13"/>
      <c r="K664" s="13"/>
      <c r="L664" s="13"/>
      <c r="M664" s="9"/>
    </row>
    <row r="665" spans="1:13" s="3" customFormat="1" ht="12.2" customHeight="1" x14ac:dyDescent="0.2">
      <c r="A665" s="1" t="s">
        <v>131</v>
      </c>
      <c r="F665" s="246">
        <v>148.15</v>
      </c>
      <c r="G665" s="247">
        <v>109.75</v>
      </c>
      <c r="H665" s="247">
        <v>142.49</v>
      </c>
      <c r="I665" s="19">
        <f>SUM(F665:H665)</f>
        <v>400.39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25773.48</v>
      </c>
      <c r="G667" s="19">
        <f>ROUND(G664/G665,2)</f>
        <v>28260.78</v>
      </c>
      <c r="H667" s="19">
        <f>ROUND(H664/H665,2)</f>
        <v>28241.67</v>
      </c>
      <c r="I667" s="19">
        <f>ROUND(I664/I665,2)</f>
        <v>27333.64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-2.2200000000000002</v>
      </c>
      <c r="I670" s="19">
        <f>SUM(F670:H670)</f>
        <v>-2.2200000000000002</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25773.48</v>
      </c>
      <c r="G672" s="19">
        <f>ROUND((G664+G669)/(G665+G670),2)</f>
        <v>28260.78</v>
      </c>
      <c r="H672" s="19">
        <f>ROUND((H664+H669)/(H665+H670),2)</f>
        <v>28688.639999999999</v>
      </c>
      <c r="I672" s="19">
        <f>ROUND((I664+I669)/(I665+I670),2)</f>
        <v>27486.04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Sunapee SD</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2798320</v>
      </c>
      <c r="C9" s="229">
        <f>'DOE25'!G197+'DOE25'!G215+'DOE25'!G233+'DOE25'!G276+'DOE25'!G295+'DOE25'!G314</f>
        <v>1632701</v>
      </c>
    </row>
    <row r="10" spans="1:3" x14ac:dyDescent="0.2">
      <c r="A10" t="s">
        <v>775</v>
      </c>
      <c r="B10" s="240">
        <f>2651327+37356</f>
        <v>2688683</v>
      </c>
      <c r="C10" s="240">
        <v>1570947</v>
      </c>
    </row>
    <row r="11" spans="1:3" x14ac:dyDescent="0.2">
      <c r="A11" t="s">
        <v>776</v>
      </c>
      <c r="B11" s="240">
        <f>59941</f>
        <v>59941</v>
      </c>
      <c r="C11" s="240">
        <v>33252</v>
      </c>
    </row>
    <row r="12" spans="1:3" x14ac:dyDescent="0.2">
      <c r="A12" t="s">
        <v>777</v>
      </c>
      <c r="B12" s="240">
        <f>49696</f>
        <v>49696</v>
      </c>
      <c r="C12" s="240">
        <v>28502</v>
      </c>
    </row>
    <row r="13" spans="1:3" x14ac:dyDescent="0.2">
      <c r="A13" t="str">
        <f>IF(B9=B13,IF(C9=C13,"Check Total OK","Check Total Error"),"Check Total Error")</f>
        <v>Check Total OK</v>
      </c>
      <c r="B13" s="231">
        <f>SUM(B10:B12)</f>
        <v>2798320</v>
      </c>
      <c r="C13" s="231">
        <f>SUM(C10:C12)</f>
        <v>1632701</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891441</v>
      </c>
      <c r="C18" s="229">
        <f>'DOE25'!G198+'DOE25'!G216+'DOE25'!G234+'DOE25'!G277+'DOE25'!G296+'DOE25'!G315</f>
        <v>497685</v>
      </c>
    </row>
    <row r="19" spans="1:3" x14ac:dyDescent="0.2">
      <c r="A19" t="s">
        <v>775</v>
      </c>
      <c r="B19" s="240">
        <f>557683+45867</f>
        <v>603550</v>
      </c>
      <c r="C19" s="240">
        <v>336933</v>
      </c>
    </row>
    <row r="20" spans="1:3" x14ac:dyDescent="0.2">
      <c r="A20" t="s">
        <v>776</v>
      </c>
      <c r="B20" s="240">
        <f>239691</f>
        <v>239691</v>
      </c>
      <c r="C20" s="240">
        <v>133877</v>
      </c>
    </row>
    <row r="21" spans="1:3" x14ac:dyDescent="0.2">
      <c r="A21" t="s">
        <v>777</v>
      </c>
      <c r="B21" s="240">
        <f>48200</f>
        <v>48200</v>
      </c>
      <c r="C21" s="240">
        <v>26875</v>
      </c>
    </row>
    <row r="22" spans="1:3" x14ac:dyDescent="0.2">
      <c r="A22" t="str">
        <f>IF(B18=B22,IF(C18=C22,"Check Total OK","Check Total Error"),"Check Total Error")</f>
        <v>Check Total OK</v>
      </c>
      <c r="B22" s="231">
        <f>SUM(B19:B21)</f>
        <v>891441</v>
      </c>
      <c r="C22" s="231">
        <f>SUM(C19:C21)</f>
        <v>497685</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179396</v>
      </c>
      <c r="C36" s="235">
        <f>'DOE25'!G200+'DOE25'!G218+'DOE25'!G236+'DOE25'!G279+'DOE25'!G298+'DOE25'!G317</f>
        <v>85391</v>
      </c>
    </row>
    <row r="37" spans="1:3" x14ac:dyDescent="0.2">
      <c r="A37" t="s">
        <v>775</v>
      </c>
      <c r="B37" s="240">
        <f>99064+18000</f>
        <v>117064</v>
      </c>
      <c r="C37" s="240">
        <v>55760</v>
      </c>
    </row>
    <row r="38" spans="1:3" x14ac:dyDescent="0.2">
      <c r="A38" t="s">
        <v>776</v>
      </c>
      <c r="B38" s="240"/>
      <c r="C38" s="240"/>
    </row>
    <row r="39" spans="1:3" x14ac:dyDescent="0.2">
      <c r="A39" t="s">
        <v>777</v>
      </c>
      <c r="B39" s="240">
        <f>62332</f>
        <v>62332</v>
      </c>
      <c r="C39" s="240">
        <v>29631</v>
      </c>
    </row>
    <row r="40" spans="1:3" x14ac:dyDescent="0.2">
      <c r="A40" t="str">
        <f>IF(B36=B40,IF(C36=C40,"Check Total OK","Check Total Error"),"Check Total Error")</f>
        <v>Check Total OK</v>
      </c>
      <c r="B40" s="231">
        <f>SUM(B37:B39)</f>
        <v>179396</v>
      </c>
      <c r="C40" s="231">
        <f>SUM(C37:C39)</f>
        <v>85391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L33" sqref="L33"/>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Sunapee SD</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6763657</v>
      </c>
      <c r="D5" s="20">
        <f>SUM('DOE25'!L197:L200)+SUM('DOE25'!L215:L218)+SUM('DOE25'!L233:L236)-F5-G5-H5</f>
        <v>6723600</v>
      </c>
      <c r="E5" s="243"/>
      <c r="F5" s="244"/>
      <c r="G5" s="53">
        <f>SUM('DOE25'!J197:J200)+SUM('DOE25'!J215:J218)+SUM('DOE25'!J233:J236)</f>
        <v>32040</v>
      </c>
      <c r="H5" s="53">
        <f>SUM('DOE25'!K197:K200)+SUM('DOE25'!K215:K218)+SUM('DOE25'!K233:K236)</f>
        <v>8017</v>
      </c>
      <c r="I5" s="256"/>
    </row>
    <row r="6" spans="1:9" x14ac:dyDescent="0.2">
      <c r="A6" s="32">
        <v>2100</v>
      </c>
      <c r="B6" t="s">
        <v>796</v>
      </c>
      <c r="C6" s="276">
        <f t="shared" si="0"/>
        <v>1159960</v>
      </c>
      <c r="D6" s="20">
        <f>'DOE25'!L202+'DOE25'!L220+'DOE25'!L238-F6-G6-H6</f>
        <v>1159960</v>
      </c>
      <c r="E6" s="243"/>
      <c r="F6" s="244"/>
      <c r="G6" s="53">
        <f>'DOE25'!J202+'DOE25'!J220+'DOE25'!J238</f>
        <v>0</v>
      </c>
      <c r="H6" s="53">
        <f>'DOE25'!K202+'DOE25'!K220+'DOE25'!K238</f>
        <v>0</v>
      </c>
      <c r="I6" s="256"/>
    </row>
    <row r="7" spans="1:9" x14ac:dyDescent="0.2">
      <c r="A7" s="32">
        <v>2200</v>
      </c>
      <c r="B7" t="s">
        <v>821</v>
      </c>
      <c r="C7" s="276">
        <f t="shared" si="0"/>
        <v>856830</v>
      </c>
      <c r="D7" s="20">
        <f>'DOE25'!L203+'DOE25'!L221+'DOE25'!L239-F7-G7-H7</f>
        <v>793074</v>
      </c>
      <c r="E7" s="243"/>
      <c r="F7" s="244"/>
      <c r="G7" s="53">
        <f>'DOE25'!J203+'DOE25'!J221+'DOE25'!J239</f>
        <v>63756</v>
      </c>
      <c r="H7" s="53">
        <f>'DOE25'!K203+'DOE25'!K221+'DOE25'!K239</f>
        <v>0</v>
      </c>
      <c r="I7" s="256"/>
    </row>
    <row r="8" spans="1:9" x14ac:dyDescent="0.2">
      <c r="A8" s="32">
        <v>2300</v>
      </c>
      <c r="B8" t="s">
        <v>797</v>
      </c>
      <c r="C8" s="276">
        <f t="shared" si="0"/>
        <v>296942</v>
      </c>
      <c r="D8" s="243"/>
      <c r="E8" s="20">
        <f>'DOE25'!L204+'DOE25'!L222+'DOE25'!L240-F8-G8-H8-D9-D11</f>
        <v>285699</v>
      </c>
      <c r="F8" s="244"/>
      <c r="G8" s="53">
        <f>'DOE25'!J204+'DOE25'!J222+'DOE25'!J240</f>
        <v>0</v>
      </c>
      <c r="H8" s="53">
        <f>'DOE25'!K204+'DOE25'!K222+'DOE25'!K240</f>
        <v>11243</v>
      </c>
      <c r="I8" s="256"/>
    </row>
    <row r="9" spans="1:9" ht="14.25" x14ac:dyDescent="0.2">
      <c r="A9" s="32">
        <v>2310</v>
      </c>
      <c r="B9" s="185" t="s">
        <v>890</v>
      </c>
      <c r="C9" s="276">
        <f t="shared" si="0"/>
        <v>53066</v>
      </c>
      <c r="D9" s="244">
        <v>53066</v>
      </c>
      <c r="E9" s="243"/>
      <c r="F9" s="253"/>
      <c r="G9" s="253"/>
      <c r="H9" s="253"/>
      <c r="I9" s="256"/>
    </row>
    <row r="10" spans="1:9" ht="14.25" x14ac:dyDescent="0.2">
      <c r="A10" s="32">
        <v>2317</v>
      </c>
      <c r="B10" s="185" t="s">
        <v>891</v>
      </c>
      <c r="C10" s="276">
        <f t="shared" si="0"/>
        <v>8500</v>
      </c>
      <c r="D10" s="243"/>
      <c r="E10" s="244">
        <v>8500</v>
      </c>
      <c r="F10" s="253"/>
      <c r="G10" s="253"/>
      <c r="H10" s="253"/>
      <c r="I10" s="256"/>
    </row>
    <row r="11" spans="1:9" ht="14.25" x14ac:dyDescent="0.2">
      <c r="A11" s="32">
        <v>2321</v>
      </c>
      <c r="B11" s="185" t="s">
        <v>892</v>
      </c>
      <c r="C11" s="276">
        <f t="shared" si="0"/>
        <v>237447</v>
      </c>
      <c r="D11" s="244">
        <v>237447</v>
      </c>
      <c r="E11" s="243"/>
      <c r="F11" s="253"/>
      <c r="G11" s="253"/>
      <c r="H11" s="253"/>
      <c r="I11" s="256"/>
    </row>
    <row r="12" spans="1:9" x14ac:dyDescent="0.2">
      <c r="A12" s="32">
        <v>2400</v>
      </c>
      <c r="B12" t="s">
        <v>711</v>
      </c>
      <c r="C12" s="276">
        <f t="shared" si="0"/>
        <v>541593</v>
      </c>
      <c r="D12" s="20">
        <f>'DOE25'!L205+'DOE25'!L223+'DOE25'!L241-F12-G12-H12</f>
        <v>534951</v>
      </c>
      <c r="E12" s="243"/>
      <c r="F12" s="244"/>
      <c r="G12" s="53">
        <f>'DOE25'!J205+'DOE25'!J223+'DOE25'!J241</f>
        <v>0</v>
      </c>
      <c r="H12" s="53">
        <f>'DOE25'!K205+'DOE25'!K223+'DOE25'!K241</f>
        <v>6642</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1332627</v>
      </c>
      <c r="D14" s="20">
        <f>'DOE25'!L207+'DOE25'!L225+'DOE25'!L243-F14-G14-H14</f>
        <v>1298326</v>
      </c>
      <c r="E14" s="243"/>
      <c r="F14" s="244"/>
      <c r="G14" s="53">
        <f>'DOE25'!J207+'DOE25'!J225+'DOE25'!J243</f>
        <v>34301</v>
      </c>
      <c r="H14" s="53">
        <f>'DOE25'!K207+'DOE25'!K225+'DOE25'!K243</f>
        <v>0</v>
      </c>
      <c r="I14" s="256"/>
    </row>
    <row r="15" spans="1:9" x14ac:dyDescent="0.2">
      <c r="A15" s="32">
        <v>2700</v>
      </c>
      <c r="B15" t="s">
        <v>799</v>
      </c>
      <c r="C15" s="276">
        <f t="shared" si="0"/>
        <v>688790</v>
      </c>
      <c r="D15" s="20">
        <f>'DOE25'!L208+'DOE25'!L226+'DOE25'!L244-F15-G15-H15</f>
        <v>558404</v>
      </c>
      <c r="E15" s="243"/>
      <c r="F15" s="244"/>
      <c r="G15" s="53">
        <f>'DOE25'!J208+'DOE25'!J226+'DOE25'!J244</f>
        <v>130047</v>
      </c>
      <c r="H15" s="53">
        <f>'DOE25'!K208+'DOE25'!K226+'DOE25'!K244</f>
        <v>339</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87604</v>
      </c>
      <c r="D29" s="284">
        <f>'DOE25'!L358+'DOE25'!L359+'DOE25'!L360-'DOE25'!I367-F29-G29-H29</f>
        <v>85986</v>
      </c>
      <c r="E29" s="243"/>
      <c r="F29" s="244"/>
      <c r="G29" s="53">
        <f>'DOE25'!J358+'DOE25'!J359+'DOE25'!J360</f>
        <v>0</v>
      </c>
      <c r="H29" s="53">
        <f>'DOE25'!K358+'DOE25'!K359+'DOE25'!K360</f>
        <v>1618</v>
      </c>
      <c r="I29" s="256"/>
    </row>
    <row r="30" spans="1:9" x14ac:dyDescent="0.2">
      <c r="A30" s="32"/>
      <c r="C30" s="277"/>
      <c r="D30" s="20"/>
      <c r="E30" s="281"/>
      <c r="F30" s="271"/>
      <c r="G30" s="53"/>
      <c r="H30" s="53"/>
      <c r="I30" s="256"/>
    </row>
    <row r="31" spans="1:9" x14ac:dyDescent="0.2">
      <c r="A31" s="32" t="s">
        <v>818</v>
      </c>
      <c r="B31" t="s">
        <v>817</v>
      </c>
      <c r="C31" s="276">
        <f>SUM(D31:I31)</f>
        <v>260329</v>
      </c>
      <c r="D31" s="20">
        <f>'DOE25'!L290+'DOE25'!L309+'DOE25'!L328+'DOE25'!L333+'DOE25'!L334+'DOE25'!L335-F31-G31-H31</f>
        <v>257147</v>
      </c>
      <c r="E31" s="243"/>
      <c r="F31" s="244"/>
      <c r="G31" s="53">
        <f>'DOE25'!J290+'DOE25'!J309+'DOE25'!J328+'DOE25'!J333+'DOE25'!J334+'DOE25'!J335</f>
        <v>3182</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11701961</v>
      </c>
      <c r="E33" s="245">
        <f t="shared" si="1"/>
        <v>294199</v>
      </c>
      <c r="F33" s="245">
        <f t="shared" si="1"/>
        <v>0</v>
      </c>
      <c r="G33" s="245">
        <f t="shared" si="1"/>
        <v>263326</v>
      </c>
      <c r="H33" s="245">
        <f t="shared" si="1"/>
        <v>27859</v>
      </c>
      <c r="I33" s="245">
        <f t="shared" si="1"/>
        <v>0</v>
      </c>
    </row>
    <row r="35" spans="1:9" ht="12" thickBot="1" x14ac:dyDescent="0.25">
      <c r="B35" s="251" t="s">
        <v>831</v>
      </c>
      <c r="D35" s="252">
        <f>E33</f>
        <v>294199</v>
      </c>
      <c r="E35" s="248"/>
    </row>
    <row r="36" spans="1:9" ht="12" thickTop="1" x14ac:dyDescent="0.2">
      <c r="B36" t="s">
        <v>810</v>
      </c>
      <c r="D36" s="20">
        <f>D33</f>
        <v>11701961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Sunapee SD</v>
      </c>
      <c r="B2" s="126">
        <f>'DOE25'!B2</f>
        <v>515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4195382</v>
      </c>
      <c r="G4" s="303">
        <f>'DOE25'!L211+'DOE25'!L290</f>
        <v>4195382</v>
      </c>
      <c r="H4" s="304">
        <f>F4-G4</f>
        <v>0</v>
      </c>
      <c r="I4" s="310" t="str">
        <f>IF(H4=0,"","Does not match DOE25 page 7 and 11 Totals!!")</f>
        <v/>
      </c>
      <c r="N4"/>
    </row>
    <row r="5" spans="1:18" x14ac:dyDescent="0.2">
      <c r="A5" s="21" t="s">
        <v>1467</v>
      </c>
      <c r="B5" s="305">
        <f>IFERROR(VLOOKUP(A5,'School Tables'!$C$3:$D$368,2,FALSE),"")</f>
        <v>22005</v>
      </c>
      <c r="C5" s="297" t="str">
        <f>IFERROR(INDEX('School Tables'!$B$3:$B$368,MATCH('School Level Expenditures'!B5,'School Tables'!$D$3:$D$368,0)),"")</f>
        <v>Sunapee</v>
      </c>
      <c r="D5" s="294">
        <v>4056352</v>
      </c>
      <c r="E5" s="294">
        <v>139030</v>
      </c>
      <c r="F5" s="313">
        <f>D5+E5</f>
        <v>4195382</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0</v>
      </c>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3291665</v>
      </c>
      <c r="G24" s="303">
        <f>'DOE25'!L229+'DOE25'!L309</f>
        <v>3291665</v>
      </c>
      <c r="H24" s="304">
        <f>F24-G24</f>
        <v>0</v>
      </c>
      <c r="I24" s="310" t="str">
        <f>IF(H24=0,"","Does not match DOE25 page 8 and 12 Totals!!")</f>
        <v/>
      </c>
      <c r="N24"/>
    </row>
    <row r="25" spans="1:14" x14ac:dyDescent="0.2">
      <c r="A25" s="21" t="s">
        <v>1576</v>
      </c>
      <c r="B25" s="305">
        <f>IFERROR(VLOOKUP(A25,'School Tables'!$I$3:$J$80,2,FALSE),"")</f>
        <v>26965</v>
      </c>
      <c r="C25" s="297" t="str">
        <f t="array" ref="C25">IFERROR(INDEX('School Tables'!$H$3:$H$80,MATCH('School Level Expenditures'!B25,'School Tables'!$J$3:$J$80,0)),"")</f>
        <v>Sunapee</v>
      </c>
      <c r="D25" s="294">
        <v>3247272</v>
      </c>
      <c r="E25" s="294">
        <v>44393</v>
      </c>
      <c r="F25" s="308">
        <f>D25+E25</f>
        <v>3291665</v>
      </c>
      <c r="G25" s="297"/>
      <c r="H25" s="297"/>
      <c r="I25" s="126"/>
      <c r="N25"/>
    </row>
    <row r="26" spans="1:14" x14ac:dyDescent="0.2">
      <c r="A26" s="21" t="s">
        <v>1586</v>
      </c>
      <c r="B26" s="305">
        <f>IFERROR(VLOOKUP(A26,'School Tables'!$I$3:$J$80,2,FALSE),"")</f>
        <v>99999</v>
      </c>
      <c r="C26" s="297" t="str">
        <f t="array" ref="C26">IFERROR(INDEX('School Tables'!$H$3:$H$80,MATCH('School Level Expenditures'!B26,'School Tables'!$J$3:$J$80,0)),"")</f>
        <v>Other District Expenditures</v>
      </c>
      <c r="D26" s="294">
        <v>0</v>
      </c>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4704194</v>
      </c>
      <c r="G36" s="303">
        <f>'DOE25'!L247+'DOE25'!L328</f>
        <v>4704194</v>
      </c>
      <c r="H36" s="304">
        <f>F36-G36</f>
        <v>0</v>
      </c>
      <c r="I36" s="310" t="str">
        <f>IF(H36=0,"","Does not match DOE25 page 9 and 13 Totals!!")</f>
        <v/>
      </c>
      <c r="N36"/>
    </row>
    <row r="37" spans="1:14" x14ac:dyDescent="0.2">
      <c r="A37" s="21" t="s">
        <v>1466</v>
      </c>
      <c r="B37" s="305">
        <f>IFERROR(VLOOKUP(A37,'School Tables'!$O$3:$P$122,2,FALSE),"")</f>
        <v>22000</v>
      </c>
      <c r="C37" s="297" t="str">
        <f t="array" ref="C37">IFERROR(INDEX('School Tables'!$N$3:$N$122,MATCH('School Level Expenditures'!B37,'School Tables'!$P$3:$P$122,0)),"")</f>
        <v>Sunapee</v>
      </c>
      <c r="D37" s="294">
        <v>4183236</v>
      </c>
      <c r="E37" s="294">
        <v>76906</v>
      </c>
      <c r="F37" s="308">
        <f>D37+E37</f>
        <v>4260142</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444052</v>
      </c>
      <c r="E38" s="294"/>
      <c r="F38" s="308">
        <f t="shared" ref="F38:F41" si="2">D38+E38</f>
        <v>444052</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41"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Sunapee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582990</v>
      </c>
      <c r="D8" s="95">
        <f>'DOE25'!G9</f>
        <v>0</v>
      </c>
      <c r="E8" s="95">
        <f>'DOE25'!H9</f>
        <v>0</v>
      </c>
      <c r="F8" s="95">
        <f>'DOE25'!I9</f>
        <v>0</v>
      </c>
      <c r="G8" s="95">
        <f>'DOE25'!J9</f>
        <v>0</v>
      </c>
      <c r="H8" s="124"/>
      <c r="I8" s="124"/>
    </row>
    <row r="9" spans="1:9" x14ac:dyDescent="0.2">
      <c r="A9" s="1" t="s">
        <v>140</v>
      </c>
      <c r="B9" s="6">
        <v>110</v>
      </c>
      <c r="C9" s="95">
        <f>'DOE25'!F10</f>
        <v>11</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138691</v>
      </c>
      <c r="D11" s="95">
        <f>'DOE25'!G12</f>
        <v>34982</v>
      </c>
      <c r="E11" s="95">
        <f>'DOE25'!H12</f>
        <v>-46642</v>
      </c>
      <c r="F11" s="95">
        <f>'DOE25'!I12</f>
        <v>0</v>
      </c>
      <c r="G11" s="95">
        <f>'DOE25'!J12</f>
        <v>0</v>
      </c>
      <c r="H11" s="124"/>
      <c r="I11" s="124"/>
    </row>
    <row r="12" spans="1:9" x14ac:dyDescent="0.2">
      <c r="A12" s="1" t="s">
        <v>143</v>
      </c>
      <c r="B12" s="6">
        <v>140</v>
      </c>
      <c r="C12" s="95">
        <f>'DOE25'!F13</f>
        <v>0</v>
      </c>
      <c r="D12" s="95">
        <f>'DOE25'!G13</f>
        <v>2722</v>
      </c>
      <c r="E12" s="95">
        <f>'DOE25'!H13</f>
        <v>47011</v>
      </c>
      <c r="F12" s="95">
        <f>'DOE25'!I13</f>
        <v>0</v>
      </c>
      <c r="G12" s="95">
        <f>'DOE25'!J13</f>
        <v>1113321</v>
      </c>
      <c r="H12" s="124"/>
      <c r="I12" s="124"/>
    </row>
    <row r="13" spans="1:9" x14ac:dyDescent="0.2">
      <c r="A13" s="1" t="s">
        <v>144</v>
      </c>
      <c r="B13" s="6">
        <v>150</v>
      </c>
      <c r="C13" s="95">
        <f>'DOE25'!F14</f>
        <v>25295</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746987</v>
      </c>
      <c r="D18" s="41">
        <f>SUM(D8:D17)</f>
        <v>37704</v>
      </c>
      <c r="E18" s="41">
        <f>SUM(E8:E17)</f>
        <v>369</v>
      </c>
      <c r="F18" s="41">
        <f>SUM(F8:F17)</f>
        <v>0</v>
      </c>
      <c r="G18" s="41">
        <f>SUM(G8:G17)</f>
        <v>1113321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129673</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4213</v>
      </c>
      <c r="D23" s="95">
        <f>'DOE25'!G24</f>
        <v>0</v>
      </c>
      <c r="E23" s="95">
        <f>'DOE25'!H24</f>
        <v>369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4213</v>
      </c>
      <c r="D31" s="41">
        <f>SUM(D21:D30)</f>
        <v>0</v>
      </c>
      <c r="E31" s="41">
        <f>SUM(E21:E30)</f>
        <v>369</v>
      </c>
      <c r="F31" s="41">
        <f>SUM(F21:F30)</f>
        <v>0</v>
      </c>
      <c r="G31" s="41">
        <f>SUM(G21:G30)</f>
        <v>129673</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76595</v>
      </c>
      <c r="D44" s="95">
        <f>'DOE25'!G45</f>
        <v>0</v>
      </c>
      <c r="E44" s="95">
        <f>'DOE25'!H45</f>
        <v>0</v>
      </c>
      <c r="F44" s="95">
        <f>'DOE25'!I45</f>
        <v>0</v>
      </c>
      <c r="G44" s="95">
        <f>'DOE25'!J45</f>
        <v>0</v>
      </c>
      <c r="H44" s="124"/>
      <c r="I44" s="124"/>
    </row>
    <row r="45" spans="1:9" x14ac:dyDescent="0.2">
      <c r="A45" s="1" t="s">
        <v>880</v>
      </c>
      <c r="B45" s="6"/>
      <c r="C45" s="95">
        <f>'DOE25'!F46</f>
        <v>250000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983648</v>
      </c>
      <c r="H47" s="124"/>
      <c r="I47" s="124"/>
    </row>
    <row r="48" spans="1:9" x14ac:dyDescent="0.2">
      <c r="A48" s="1" t="s">
        <v>882</v>
      </c>
      <c r="B48" s="6">
        <v>753</v>
      </c>
      <c r="C48" s="95">
        <f>'DOE25'!F49</f>
        <v>0</v>
      </c>
      <c r="D48" s="95">
        <f>'DOE25'!G49</f>
        <v>37704</v>
      </c>
      <c r="E48" s="95">
        <f>'DOE25'!H49</f>
        <v>0</v>
      </c>
      <c r="F48" s="95">
        <f>'DOE25'!I49</f>
        <v>0</v>
      </c>
      <c r="G48" s="95">
        <f>'DOE25'!J49</f>
        <v>0</v>
      </c>
      <c r="H48" s="124"/>
      <c r="I48" s="124"/>
    </row>
    <row r="49" spans="1:9" ht="12" thickBot="1" x14ac:dyDescent="0.25">
      <c r="A49" s="29" t="s">
        <v>883</v>
      </c>
      <c r="B49" s="71">
        <v>770</v>
      </c>
      <c r="C49" s="95">
        <f>'DOE25'!F50</f>
        <v>391179</v>
      </c>
      <c r="D49" s="24" t="s">
        <v>288</v>
      </c>
      <c r="E49" s="24" t="s">
        <v>288</v>
      </c>
      <c r="F49" s="24" t="s">
        <v>288</v>
      </c>
      <c r="G49" s="24" t="s">
        <v>288</v>
      </c>
      <c r="H49" s="124"/>
      <c r="I49" s="124"/>
    </row>
    <row r="50" spans="1:9" ht="12.75" thickTop="1" thickBot="1" x14ac:dyDescent="0.25">
      <c r="A50" s="38" t="s">
        <v>884</v>
      </c>
      <c r="B50" s="48"/>
      <c r="C50" s="41">
        <f>SUM(C34:C49)</f>
        <v>742774</v>
      </c>
      <c r="D50" s="41">
        <f>SUM(D34:D49)</f>
        <v>37704</v>
      </c>
      <c r="E50" s="41">
        <f>SUM(E34:E49)</f>
        <v>0</v>
      </c>
      <c r="F50" s="41">
        <f>SUM(F34:F49)</f>
        <v>0</v>
      </c>
      <c r="G50" s="41">
        <f>SUM(G34:G49)</f>
        <v>983648</v>
      </c>
      <c r="H50" s="124"/>
      <c r="I50" s="124"/>
    </row>
    <row r="51" spans="1:9" ht="12" thickTop="1" x14ac:dyDescent="0.2">
      <c r="A51" s="38" t="s">
        <v>885</v>
      </c>
      <c r="B51" s="2"/>
      <c r="C51" s="41">
        <f>C50+C31</f>
        <v>746987</v>
      </c>
      <c r="D51" s="41">
        <f>D50+D31</f>
        <v>37704</v>
      </c>
      <c r="E51" s="41">
        <f>E50+E31</f>
        <v>369</v>
      </c>
      <c r="F51" s="41">
        <f>F50+F31</f>
        <v>0</v>
      </c>
      <c r="G51" s="41">
        <f>G50+G31</f>
        <v>1113321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8460693</v>
      </c>
      <c r="D56" s="95">
        <f>'DOE25'!G60</f>
        <v>0</v>
      </c>
      <c r="E56" s="95">
        <f>'DOE25'!H60</f>
        <v>0</v>
      </c>
      <c r="F56" s="95">
        <f>'DOE25'!I60</f>
        <v>0</v>
      </c>
      <c r="G56" s="95">
        <f>'DOE25'!J60</f>
        <v>0</v>
      </c>
      <c r="H56"/>
      <c r="I56"/>
    </row>
    <row r="57" spans="1:9" x14ac:dyDescent="0.2">
      <c r="A57" s="1" t="s">
        <v>164</v>
      </c>
      <c r="B57" s="6" t="s">
        <v>165</v>
      </c>
      <c r="C57" s="95">
        <f>'DOE25'!F79</f>
        <v>295441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36968</v>
      </c>
      <c r="D59" s="95">
        <f>'DOE25'!G96</f>
        <v>0</v>
      </c>
      <c r="E59" s="95">
        <f>'DOE25'!H96</f>
        <v>0</v>
      </c>
      <c r="F59" s="95">
        <f>'DOE25'!I96</f>
        <v>0</v>
      </c>
      <c r="G59" s="95">
        <f>'DOE25'!J96</f>
        <v>17515</v>
      </c>
      <c r="H59"/>
      <c r="I59"/>
    </row>
    <row r="60" spans="1:9" x14ac:dyDescent="0.2">
      <c r="A60" s="1" t="s">
        <v>170</v>
      </c>
      <c r="B60" s="118" t="s">
        <v>171</v>
      </c>
      <c r="C60" s="24" t="s">
        <v>288</v>
      </c>
      <c r="D60" s="95">
        <f>'DOE25'!G97</f>
        <v>108308</v>
      </c>
      <c r="E60" s="24" t="s">
        <v>288</v>
      </c>
      <c r="F60" s="24" t="s">
        <v>288</v>
      </c>
      <c r="G60" s="24" t="s">
        <v>288</v>
      </c>
      <c r="H60"/>
      <c r="I60"/>
    </row>
    <row r="61" spans="1:9" ht="12" thickBot="1" x14ac:dyDescent="0.25">
      <c r="A61" s="1" t="s">
        <v>172</v>
      </c>
      <c r="B61" s="118" t="s">
        <v>173</v>
      </c>
      <c r="C61" s="95">
        <f>SUM('DOE25'!F98:F110)</f>
        <v>2811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335220</v>
      </c>
      <c r="D62" s="130">
        <f>SUM(D57:D61)</f>
        <v>108308</v>
      </c>
      <c r="E62" s="130">
        <f>SUM(E57:E61)</f>
        <v>0</v>
      </c>
      <c r="F62" s="130">
        <f>SUM(F57:F61)</f>
        <v>0</v>
      </c>
      <c r="G62" s="130">
        <f>SUM(G57:G61)</f>
        <v>17515</v>
      </c>
      <c r="H62"/>
      <c r="I62"/>
    </row>
    <row r="63" spans="1:9" ht="12" thickTop="1" x14ac:dyDescent="0.2">
      <c r="A63" s="29" t="s">
        <v>175</v>
      </c>
      <c r="B63" s="6"/>
      <c r="C63" s="22">
        <f>C56+C62</f>
        <v>8795913</v>
      </c>
      <c r="D63" s="22">
        <f>D56+D62</f>
        <v>108308</v>
      </c>
      <c r="E63" s="22">
        <f>E56+E62</f>
        <v>0</v>
      </c>
      <c r="F63" s="22">
        <f>F56+F62</f>
        <v>0</v>
      </c>
      <c r="G63" s="22">
        <f>G56+G62</f>
        <v>17515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2744111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2744111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29523</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200236</v>
      </c>
      <c r="D75" s="24" t="s">
        <v>288</v>
      </c>
      <c r="E75" s="24" t="s">
        <v>288</v>
      </c>
      <c r="F75" s="24" t="s">
        <v>288</v>
      </c>
      <c r="G75" s="24" t="s">
        <v>288</v>
      </c>
      <c r="H75"/>
      <c r="I75"/>
    </row>
    <row r="76" spans="1:9" x14ac:dyDescent="0.2">
      <c r="A76" s="1" t="s">
        <v>257</v>
      </c>
      <c r="B76" s="6" t="s">
        <v>179</v>
      </c>
      <c r="C76" s="95">
        <f>SUM('DOE25'!F127:F130)</f>
        <v>492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10147</v>
      </c>
      <c r="E77" s="95">
        <f>SUM('DOE25'!H131:H135)</f>
        <v>0</v>
      </c>
      <c r="F77" s="95">
        <f>SUM('DOE25'!I131:I135)</f>
        <v>0</v>
      </c>
      <c r="G77" s="95">
        <f>SUM('DOE25'!J131:J135)</f>
        <v>0</v>
      </c>
      <c r="H77"/>
      <c r="I77"/>
    </row>
    <row r="78" spans="1:9" ht="12.75" thickTop="1" thickBot="1" x14ac:dyDescent="0.25">
      <c r="A78" s="29" t="s">
        <v>259</v>
      </c>
      <c r="B78" s="6"/>
      <c r="C78" s="130">
        <f>SUM(C72:C77)</f>
        <v>230251</v>
      </c>
      <c r="D78" s="130">
        <f>SUM(D72:D77)</f>
        <v>10147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2974362</v>
      </c>
      <c r="D81" s="130">
        <f>SUM(D79:D80)+D78+D70</f>
        <v>10147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85383</v>
      </c>
      <c r="D88" s="95">
        <f>SUM('DOE25'!G153:G161)</f>
        <v>46665</v>
      </c>
      <c r="E88" s="95">
        <f>SUM('DOE25'!H153:H161)</f>
        <v>260329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85383</v>
      </c>
      <c r="D91" s="131">
        <f>SUM(D85:D90)</f>
        <v>46665</v>
      </c>
      <c r="E91" s="131">
        <f>SUM(E85:E90)</f>
        <v>260329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75000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75000</v>
      </c>
    </row>
    <row r="104" spans="1:7" ht="12.75" thickTop="1" thickBot="1" x14ac:dyDescent="0.25">
      <c r="A104" s="33" t="s">
        <v>761</v>
      </c>
      <c r="C104" s="86">
        <f>C63+C81+C91+C103</f>
        <v>11855658</v>
      </c>
      <c r="D104" s="86">
        <f>D63+D81+D91+D103</f>
        <v>165120</v>
      </c>
      <c r="E104" s="86">
        <f>E63+E81+E91+E103</f>
        <v>260329</v>
      </c>
      <c r="F104" s="86">
        <f>F63+F81+F91+F103</f>
        <v>0</v>
      </c>
      <c r="G104" s="86">
        <f>G63+G81+G103</f>
        <v>92515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4540646</v>
      </c>
      <c r="D109" s="24" t="s">
        <v>288</v>
      </c>
      <c r="E109" s="95">
        <f>('DOE25'!L276)+('DOE25'!L295)+('DOE25'!L314)</f>
        <v>37356</v>
      </c>
      <c r="F109" s="24" t="s">
        <v>288</v>
      </c>
      <c r="G109" s="24" t="s">
        <v>288</v>
      </c>
    </row>
    <row r="110" spans="1:7" x14ac:dyDescent="0.2">
      <c r="A110" t="s">
        <v>198</v>
      </c>
      <c r="B110" s="32" t="s">
        <v>199</v>
      </c>
      <c r="C110" s="95">
        <f>('DOE25'!L198)+('DOE25'!L216)+('DOE25'!L234)</f>
        <v>1880919</v>
      </c>
      <c r="D110" s="24" t="s">
        <v>288</v>
      </c>
      <c r="E110" s="95">
        <f>('DOE25'!L277)+('DOE25'!L296)+('DOE25'!L315)</f>
        <v>103526</v>
      </c>
      <c r="F110" s="24" t="s">
        <v>288</v>
      </c>
      <c r="G110" s="24" t="s">
        <v>288</v>
      </c>
    </row>
    <row r="111" spans="1:7" x14ac:dyDescent="0.2">
      <c r="A111" t="s">
        <v>200</v>
      </c>
      <c r="B111" s="32" t="s">
        <v>165</v>
      </c>
      <c r="C111" s="95">
        <f>('DOE25'!L199)+('DOE25'!L217)+('DOE25'!L235)</f>
        <v>3939</v>
      </c>
      <c r="D111" s="24" t="s">
        <v>288</v>
      </c>
      <c r="E111" s="95">
        <f>('DOE25'!L278)+('DOE25'!L297)+('DOE25'!L316)</f>
        <v>0</v>
      </c>
      <c r="F111" s="24" t="s">
        <v>288</v>
      </c>
      <c r="G111" s="24" t="s">
        <v>288</v>
      </c>
    </row>
    <row r="112" spans="1:7" x14ac:dyDescent="0.2">
      <c r="A112" t="s">
        <v>201</v>
      </c>
      <c r="B112" s="32" t="s">
        <v>167</v>
      </c>
      <c r="C112" s="95">
        <f>('DOE25'!L200)+('DOE25'!L218)+('DOE25'!L236)</f>
        <v>338153</v>
      </c>
      <c r="D112" s="24" t="s">
        <v>288</v>
      </c>
      <c r="E112" s="95">
        <f>+('DOE25'!L279)+('DOE25'!L298)+('DOE25'!L317)</f>
        <v>18000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6763657</v>
      </c>
      <c r="D115" s="86">
        <f>SUM(D109:D114)</f>
        <v>0</v>
      </c>
      <c r="E115" s="86">
        <f>SUM(E109:E114)</f>
        <v>158882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1159960</v>
      </c>
      <c r="D118" s="24" t="s">
        <v>288</v>
      </c>
      <c r="E118" s="95">
        <f>+('DOE25'!L281)+('DOE25'!L300)+('DOE25'!L319)</f>
        <v>0</v>
      </c>
      <c r="F118" s="24" t="s">
        <v>288</v>
      </c>
      <c r="G118" s="24" t="s">
        <v>288</v>
      </c>
    </row>
    <row r="119" spans="1:7" x14ac:dyDescent="0.2">
      <c r="A119" t="s">
        <v>208</v>
      </c>
      <c r="B119" s="32" t="s">
        <v>209</v>
      </c>
      <c r="C119" s="95">
        <f>('DOE25'!L203)+('DOE25'!L221)+('DOE25'!L239)</f>
        <v>856830</v>
      </c>
      <c r="D119" s="24" t="s">
        <v>288</v>
      </c>
      <c r="E119" s="95">
        <f>+('DOE25'!L282)+('DOE25'!L301)+('DOE25'!L320)</f>
        <v>51796</v>
      </c>
      <c r="F119" s="24" t="s">
        <v>288</v>
      </c>
      <c r="G119" s="24" t="s">
        <v>288</v>
      </c>
    </row>
    <row r="120" spans="1:7" x14ac:dyDescent="0.2">
      <c r="A120" t="s">
        <v>210</v>
      </c>
      <c r="B120" s="32" t="s">
        <v>211</v>
      </c>
      <c r="C120" s="95">
        <f>('DOE25'!L204)+('DOE25'!L222)+('DOE25'!L240)</f>
        <v>587455</v>
      </c>
      <c r="D120" s="24" t="s">
        <v>288</v>
      </c>
      <c r="E120" s="95">
        <f>+('DOE25'!L283)+('DOE25'!L302)+('DOE25'!L321)</f>
        <v>8117</v>
      </c>
      <c r="F120" s="24" t="s">
        <v>288</v>
      </c>
      <c r="G120" s="24" t="s">
        <v>288</v>
      </c>
    </row>
    <row r="121" spans="1:7" x14ac:dyDescent="0.2">
      <c r="A121" t="s">
        <v>212</v>
      </c>
      <c r="B121" s="32" t="s">
        <v>213</v>
      </c>
      <c r="C121" s="95">
        <f>('DOE25'!L205)+('DOE25'!L223)+('DOE25'!L241)</f>
        <v>541593</v>
      </c>
      <c r="D121" s="24" t="s">
        <v>288</v>
      </c>
      <c r="E121" s="95">
        <f>+('DOE25'!L284)+('DOE25'!L303)+('DOE25'!L322)</f>
        <v>211</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1332627</v>
      </c>
      <c r="D123" s="24" t="s">
        <v>288</v>
      </c>
      <c r="E123" s="95">
        <f>+('DOE25'!L286)+('DOE25'!L305)+('DOE25'!L324)</f>
        <v>39963</v>
      </c>
      <c r="F123" s="24" t="s">
        <v>288</v>
      </c>
      <c r="G123" s="24" t="s">
        <v>288</v>
      </c>
    </row>
    <row r="124" spans="1:7" x14ac:dyDescent="0.2">
      <c r="A124" t="s">
        <v>218</v>
      </c>
      <c r="B124" s="32" t="s">
        <v>219</v>
      </c>
      <c r="C124" s="95">
        <f>('DOE25'!L208)+('DOE25'!L226)+('DOE25'!L244+'DOE25'!L254)</f>
        <v>688790</v>
      </c>
      <c r="D124" s="24" t="s">
        <v>288</v>
      </c>
      <c r="E124" s="95">
        <f>+('DOE25'!L287)+('DOE25'!L306)+('DOE25'!L325)</f>
        <v>1360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169123</v>
      </c>
      <c r="E127" s="24" t="s">
        <v>288</v>
      </c>
      <c r="F127" s="24" t="s">
        <v>288</v>
      </c>
      <c r="G127" s="24" t="s">
        <v>288</v>
      </c>
    </row>
    <row r="128" spans="1:7" ht="12.75" thickTop="1" thickBot="1" x14ac:dyDescent="0.25">
      <c r="A128" s="33" t="s">
        <v>226</v>
      </c>
      <c r="C128" s="86">
        <f>SUM(C118:C127)</f>
        <v>5167255</v>
      </c>
      <c r="D128" s="86">
        <f>SUM(D118:D127)</f>
        <v>169123</v>
      </c>
      <c r="E128" s="86">
        <f>SUM(E118:E127)</f>
        <v>101447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92515</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-17515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75000</v>
      </c>
      <c r="D144" s="141">
        <f>SUM(D130:D143)</f>
        <v>0</v>
      </c>
      <c r="E144" s="141">
        <f>SUM(E130:E143)</f>
        <v>0</v>
      </c>
      <c r="F144" s="141">
        <f>SUM(F130:F143)</f>
        <v>0</v>
      </c>
      <c r="G144" s="141">
        <f>SUM(G130:G143)</f>
        <v>0</v>
      </c>
    </row>
    <row r="145" spans="1:9" ht="12.75" thickTop="1" thickBot="1" x14ac:dyDescent="0.25">
      <c r="A145" s="33" t="s">
        <v>244</v>
      </c>
      <c r="C145" s="86">
        <f>(C115+C128+C144)</f>
        <v>12005912</v>
      </c>
      <c r="D145" s="86">
        <f>(D115+D128+D144)</f>
        <v>169123</v>
      </c>
      <c r="E145" s="86">
        <f>(E115+E128+E144)</f>
        <v>260329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25"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Sunapee SD</v>
      </c>
    </row>
    <row r="3" spans="1:4" x14ac:dyDescent="0.2">
      <c r="B3" s="188" t="s">
        <v>1602</v>
      </c>
    </row>
    <row r="4" spans="1:4" x14ac:dyDescent="0.2">
      <c r="B4" t="s">
        <v>61</v>
      </c>
      <c r="C4" s="179">
        <f>IF('DOE25'!F665+'DOE25'!F670=0,0,ROUND('DOE25'!F672,0))</f>
        <v>25773</v>
      </c>
    </row>
    <row r="5" spans="1:4" x14ac:dyDescent="0.2">
      <c r="B5" t="s">
        <v>700</v>
      </c>
      <c r="C5" s="179">
        <f>IF('DOE25'!G665+'DOE25'!G670=0,0,ROUND('DOE25'!G672,0))</f>
        <v>28261</v>
      </c>
    </row>
    <row r="6" spans="1:4" x14ac:dyDescent="0.2">
      <c r="B6" t="s">
        <v>62</v>
      </c>
      <c r="C6" s="179">
        <f>IF('DOE25'!H665+'DOE25'!H670=0,0,ROUND('DOE25'!H672,0))</f>
        <v>28689</v>
      </c>
    </row>
    <row r="7" spans="1:4" x14ac:dyDescent="0.2">
      <c r="B7" t="s">
        <v>701</v>
      </c>
      <c r="C7" s="179">
        <f>IF('DOE25'!I665+'DOE25'!I670=0,0,ROUND('DOE25'!I672,0))</f>
        <v>27486</v>
      </c>
    </row>
    <row r="9" spans="1:4" x14ac:dyDescent="0.2">
      <c r="A9" s="187" t="s">
        <v>94</v>
      </c>
      <c r="B9" s="188" t="s">
        <v>1603</v>
      </c>
      <c r="C9" s="181" t="s">
        <v>720</v>
      </c>
      <c r="D9" s="181" t="s">
        <v>721</v>
      </c>
    </row>
    <row r="10" spans="1:4" x14ac:dyDescent="0.2">
      <c r="A10">
        <v>1100</v>
      </c>
      <c r="B10" t="s">
        <v>702</v>
      </c>
      <c r="C10" s="179">
        <f>ROUND('DOE25'!L197+'DOE25'!L215+'DOE25'!L233+'DOE25'!L276+'DOE25'!L295+'DOE25'!L314,0)</f>
        <v>4578002</v>
      </c>
      <c r="D10" s="182">
        <f>ROUND((C10/$C$28)*100,1)</f>
        <v>37.4</v>
      </c>
    </row>
    <row r="11" spans="1:4" x14ac:dyDescent="0.2">
      <c r="A11">
        <v>1200</v>
      </c>
      <c r="B11" t="s">
        <v>703</v>
      </c>
      <c r="C11" s="179">
        <f>ROUND('DOE25'!L198+'DOE25'!L216+'DOE25'!L234+'DOE25'!L277+'DOE25'!L296+'DOE25'!L315,0)</f>
        <v>1984445</v>
      </c>
      <c r="D11" s="182">
        <f>ROUND((C11/$C$28)*100,1)</f>
        <v>16.2</v>
      </c>
    </row>
    <row r="12" spans="1:4" x14ac:dyDescent="0.2">
      <c r="A12">
        <v>1300</v>
      </c>
      <c r="B12" t="s">
        <v>704</v>
      </c>
      <c r="C12" s="179">
        <f>ROUND('DOE25'!L199+'DOE25'!L217+'DOE25'!L235+'DOE25'!L278+'DOE25'!L297+'DOE25'!L316,0)</f>
        <v>3939</v>
      </c>
      <c r="D12" s="182">
        <f>ROUND((C12/$C$28)*100,1)</f>
        <v>0</v>
      </c>
    </row>
    <row r="13" spans="1:4" x14ac:dyDescent="0.2">
      <c r="A13">
        <v>1400</v>
      </c>
      <c r="B13" t="s">
        <v>705</v>
      </c>
      <c r="C13" s="179">
        <f>ROUND('DOE25'!L200+'DOE25'!L218+'DOE25'!L236+'DOE25'!L279+'DOE25'!L298+'DOE25'!L317,0)</f>
        <v>356153</v>
      </c>
      <c r="D13" s="182">
        <f>ROUND((C13/$C$28)*100,1)</f>
        <v>2.9</v>
      </c>
    </row>
    <row r="14" spans="1:4" x14ac:dyDescent="0.2">
      <c r="D14" s="182"/>
    </row>
    <row r="15" spans="1:4" x14ac:dyDescent="0.2">
      <c r="A15">
        <v>2100</v>
      </c>
      <c r="B15" t="s">
        <v>706</v>
      </c>
      <c r="C15" s="179">
        <f>ROUND('DOE25'!L202+'DOE25'!L220+'DOE25'!L238+'DOE25'!L281+'DOE25'!L300+'DOE25'!L319,0)</f>
        <v>1159960</v>
      </c>
      <c r="D15" s="182">
        <f t="shared" ref="D15:D27" si="0">ROUND((C15/$C$28)*100,1)</f>
        <v>9.5</v>
      </c>
    </row>
    <row r="16" spans="1:4" x14ac:dyDescent="0.2">
      <c r="A16">
        <v>2200</v>
      </c>
      <c r="B16" t="s">
        <v>707</v>
      </c>
      <c r="C16" s="179">
        <f>ROUND('DOE25'!L203+'DOE25'!L221+'DOE25'!L239+'DOE25'!L282+'DOE25'!L301+'DOE25'!L320,0)</f>
        <v>908626</v>
      </c>
      <c r="D16" s="182">
        <f t="shared" si="0"/>
        <v>7.4</v>
      </c>
    </row>
    <row r="17" spans="1:4" x14ac:dyDescent="0.2">
      <c r="A17" s="183" t="s">
        <v>723</v>
      </c>
      <c r="B17" t="s">
        <v>738</v>
      </c>
      <c r="C17" s="179">
        <f>ROUND('DOE25'!L204+'DOE25'!L209+'DOE25'!L222+'DOE25'!L227+'DOE25'!L240+'DOE25'!L245+'DOE25'!L283+'DOE25'!L288+'DOE25'!L302+'DOE25'!L307+'DOE25'!L321+'DOE25'!L326,0)</f>
        <v>595572</v>
      </c>
      <c r="D17" s="182">
        <f t="shared" si="0"/>
        <v>4.9000000000000004</v>
      </c>
    </row>
    <row r="18" spans="1:4" x14ac:dyDescent="0.2">
      <c r="A18">
        <v>2400</v>
      </c>
      <c r="B18" t="s">
        <v>711</v>
      </c>
      <c r="C18" s="179">
        <f>ROUND('DOE25'!L205+'DOE25'!L223+'DOE25'!L241+'DOE25'!L284+'DOE25'!L303+'DOE25'!L322,0)</f>
        <v>541804</v>
      </c>
      <c r="D18" s="182">
        <f t="shared" si="0"/>
        <v>4.4000000000000004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1372590</v>
      </c>
      <c r="D20" s="182">
        <f t="shared" si="0"/>
        <v>11.2</v>
      </c>
    </row>
    <row r="21" spans="1:4" x14ac:dyDescent="0.2">
      <c r="A21">
        <v>2700</v>
      </c>
      <c r="B21" t="s">
        <v>710</v>
      </c>
      <c r="C21" s="179">
        <f>ROUND('DOE25'!L208+'DOE25'!L226+'DOE25'!L244+'DOE25'!L287+'DOE25'!L306+'DOE25'!L325,0)</f>
        <v>690150</v>
      </c>
      <c r="D21" s="182">
        <f t="shared" si="0"/>
        <v>5.6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60815</v>
      </c>
      <c r="D27" s="182">
        <f t="shared" si="0"/>
        <v>0.5</v>
      </c>
    </row>
    <row r="28" spans="1:4" x14ac:dyDescent="0.2">
      <c r="B28" s="187" t="s">
        <v>719</v>
      </c>
      <c r="C28" s="180">
        <f>SUM(C10:C27)</f>
        <v>12252056</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12252056</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8460693</v>
      </c>
      <c r="D35" s="182">
        <f t="shared" ref="D35:D40" si="1">ROUND((C35/$C$41)*100,1)</f>
        <v>69.400000000000006</v>
      </c>
    </row>
    <row r="36" spans="1:4" x14ac:dyDescent="0.2">
      <c r="B36" s="185" t="s">
        <v>739</v>
      </c>
      <c r="C36" s="179">
        <f>SUM('DOE25'!F112:J112)-SUM('DOE25'!G97:G110)+('DOE25'!F174+'DOE25'!F175+'DOE25'!I174+'DOE25'!I175)-C35</f>
        <v>352735</v>
      </c>
      <c r="D36" s="182">
        <f t="shared" si="1"/>
        <v>2.9</v>
      </c>
    </row>
    <row r="37" spans="1:4" x14ac:dyDescent="0.2">
      <c r="A37" s="183" t="s">
        <v>835</v>
      </c>
      <c r="B37" s="185" t="s">
        <v>728</v>
      </c>
      <c r="C37" s="179">
        <f>ROUND('DOE25'!F117+'DOE25'!F118,0)</f>
        <v>2744111</v>
      </c>
      <c r="D37" s="182">
        <f t="shared" si="1"/>
        <v>22.5</v>
      </c>
    </row>
    <row r="38" spans="1:4" x14ac:dyDescent="0.2">
      <c r="A38" s="183" t="s">
        <v>734</v>
      </c>
      <c r="B38" s="185" t="s">
        <v>729</v>
      </c>
      <c r="C38" s="179">
        <f>ROUND(SUM('DOE25'!F140:J140)-SUM('DOE25'!F117:F119),0)</f>
        <v>240398</v>
      </c>
      <c r="D38" s="182">
        <f t="shared" si="1"/>
        <v>2</v>
      </c>
    </row>
    <row r="39" spans="1:4" x14ac:dyDescent="0.2">
      <c r="A39">
        <v>4000</v>
      </c>
      <c r="B39" s="185" t="s">
        <v>730</v>
      </c>
      <c r="C39" s="179">
        <f>ROUND('DOE25'!F169+'DOE25'!G169+'DOE25'!H169+'DOE25'!I169,0)</f>
        <v>392377</v>
      </c>
      <c r="D39" s="182">
        <f t="shared" si="1"/>
        <v>3.2</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12190314</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Sunapee SD</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2019-10-31T16:57:53Z</cp:lastPrinted>
  <dcterms:created xsi:type="dcterms:W3CDTF">1997-12-04T19:04:30Z</dcterms:created>
  <dcterms:modified xsi:type="dcterms:W3CDTF">2019-11-22T16:10:09Z</dcterms:modified>
</cp:coreProperties>
</file>