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H155" i="1" l="1"/>
  <c r="F57" i="1"/>
  <c r="H400" i="1" l="1"/>
  <c r="H392" i="1"/>
  <c r="J465" i="1"/>
  <c r="G459" i="1"/>
  <c r="H459" i="1"/>
  <c r="F459" i="1"/>
  <c r="H439" i="1"/>
  <c r="G439" i="1"/>
  <c r="F439" i="1"/>
  <c r="H502" i="1" l="1"/>
  <c r="I502" i="1"/>
  <c r="F502" i="1"/>
  <c r="I498" i="1" l="1"/>
  <c r="H499" i="1"/>
  <c r="H498" i="1"/>
  <c r="G495" i="1"/>
  <c r="F499" i="1"/>
  <c r="F495" i="1"/>
  <c r="F498" i="1"/>
  <c r="G498" i="1"/>
  <c r="I492" i="1"/>
  <c r="H492" i="1"/>
  <c r="I491" i="1"/>
  <c r="H491" i="1"/>
  <c r="D5" i="14" l="1"/>
  <c r="E5" i="14"/>
  <c r="G611" i="1" l="1"/>
  <c r="I48" i="1"/>
  <c r="H24" i="1"/>
  <c r="H591" i="1"/>
  <c r="I358" i="1"/>
  <c r="G158" i="1"/>
  <c r="F25" i="1" l="1"/>
  <c r="F9" i="1"/>
  <c r="F102" i="1"/>
  <c r="F521" i="1"/>
  <c r="G521" i="1"/>
  <c r="I521" i="1"/>
  <c r="J521" i="1"/>
  <c r="K521"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F661" i="1" s="1"/>
  <c r="L359" i="1"/>
  <c r="L360" i="1"/>
  <c r="I367" i="1"/>
  <c r="J290" i="1"/>
  <c r="J309" i="1"/>
  <c r="J328" i="1"/>
  <c r="K290" i="1"/>
  <c r="K309" i="1"/>
  <c r="K328" i="1"/>
  <c r="L276" i="1"/>
  <c r="L277" i="1"/>
  <c r="L278" i="1"/>
  <c r="L279" i="1"/>
  <c r="C13" i="10" s="1"/>
  <c r="L281" i="1"/>
  <c r="E118" i="2" s="1"/>
  <c r="L282" i="1"/>
  <c r="L283" i="1"/>
  <c r="L284" i="1"/>
  <c r="E121" i="2" s="1"/>
  <c r="L285" i="1"/>
  <c r="E122" i="2" s="1"/>
  <c r="L286" i="1"/>
  <c r="L287" i="1"/>
  <c r="L288" i="1"/>
  <c r="E125" i="2" s="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B4" i="12"/>
  <c r="B36" i="12"/>
  <c r="C36" i="12"/>
  <c r="B40" i="12"/>
  <c r="C40" i="12"/>
  <c r="B27" i="12"/>
  <c r="C27" i="12"/>
  <c r="B31" i="12"/>
  <c r="A31" i="12" s="1"/>
  <c r="C31" i="12"/>
  <c r="B9"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C113" i="2" s="1"/>
  <c r="L332" i="1"/>
  <c r="L254" i="1"/>
  <c r="L268" i="1"/>
  <c r="C26" i="10" s="1"/>
  <c r="L269" i="1"/>
  <c r="L349" i="1"/>
  <c r="L350" i="1"/>
  <c r="I665" i="1"/>
  <c r="I670" i="1"/>
  <c r="G662" i="1"/>
  <c r="H662" i="1"/>
  <c r="I669" i="1"/>
  <c r="C4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I552" i="1" s="1"/>
  <c r="L538" i="1"/>
  <c r="I551" i="1" s="1"/>
  <c r="L541" i="1"/>
  <c r="J549" i="1" s="1"/>
  <c r="L542" i="1"/>
  <c r="J550" i="1" s="1"/>
  <c r="L543" i="1"/>
  <c r="J551" i="1" s="1"/>
  <c r="E132" i="2"/>
  <c r="E131" i="2"/>
  <c r="K270" i="1"/>
  <c r="L270" i="1" s="1"/>
  <c r="J270" i="1"/>
  <c r="I270" i="1"/>
  <c r="H270" i="1"/>
  <c r="G270" i="1"/>
  <c r="F270" i="1"/>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3" i="2"/>
  <c r="C114" i="2"/>
  <c r="D115" i="2"/>
  <c r="F115" i="2"/>
  <c r="G115" i="2"/>
  <c r="E119" i="2"/>
  <c r="E120" i="2"/>
  <c r="E123" i="2"/>
  <c r="E124" i="2"/>
  <c r="C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H32" i="1"/>
  <c r="I32" i="1"/>
  <c r="G52" i="1"/>
  <c r="H618" i="1" s="1"/>
  <c r="H51" i="1"/>
  <c r="G624" i="1" s="1"/>
  <c r="I51" i="1"/>
  <c r="F177" i="1"/>
  <c r="F192" i="1" s="1"/>
  <c r="I177" i="1"/>
  <c r="F183" i="1"/>
  <c r="G183" i="1"/>
  <c r="H183" i="1"/>
  <c r="I183" i="1"/>
  <c r="J183" i="1"/>
  <c r="J192" i="1" s="1"/>
  <c r="F188" i="1"/>
  <c r="G188" i="1"/>
  <c r="G192" i="1" s="1"/>
  <c r="H188" i="1"/>
  <c r="I188" i="1"/>
  <c r="F211" i="1"/>
  <c r="F257" i="1" s="1"/>
  <c r="G211" i="1"/>
  <c r="H211" i="1"/>
  <c r="I211" i="1"/>
  <c r="J211" i="1"/>
  <c r="J257" i="1" s="1"/>
  <c r="K211" i="1"/>
  <c r="K257" i="1" s="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J640" i="1" s="1"/>
  <c r="H446" i="1"/>
  <c r="G641" i="1" s="1"/>
  <c r="F452" i="1"/>
  <c r="G452" i="1"/>
  <c r="H452" i="1"/>
  <c r="F460" i="1"/>
  <c r="G460" i="1"/>
  <c r="H460" i="1"/>
  <c r="H461" i="1" s="1"/>
  <c r="H641" i="1" s="1"/>
  <c r="F461" i="1"/>
  <c r="H639" i="1" s="1"/>
  <c r="G461" i="1"/>
  <c r="F470" i="1"/>
  <c r="F476" i="1" s="1"/>
  <c r="H622" i="1" s="1"/>
  <c r="G470" i="1"/>
  <c r="H470" i="1"/>
  <c r="H476" i="1" s="1"/>
  <c r="H624" i="1" s="1"/>
  <c r="I470" i="1"/>
  <c r="J470" i="1"/>
  <c r="J476" i="1" s="1"/>
  <c r="H626" i="1" s="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2" i="1"/>
  <c r="G623" i="1"/>
  <c r="G625" i="1"/>
  <c r="H627" i="1"/>
  <c r="H628" i="1"/>
  <c r="H629" i="1"/>
  <c r="H630" i="1"/>
  <c r="H631" i="1"/>
  <c r="H632" i="1"/>
  <c r="H633" i="1"/>
  <c r="G634" i="1"/>
  <c r="H634" i="1"/>
  <c r="H635" i="1"/>
  <c r="H636" i="1"/>
  <c r="H637" i="1"/>
  <c r="H638" i="1"/>
  <c r="H640" i="1"/>
  <c r="G643" i="1"/>
  <c r="H643" i="1"/>
  <c r="G644" i="1"/>
  <c r="G645" i="1"/>
  <c r="H645" i="1"/>
  <c r="G650" i="1"/>
  <c r="G651" i="1"/>
  <c r="J651" i="1" s="1"/>
  <c r="G652" i="1"/>
  <c r="H652" i="1"/>
  <c r="G653" i="1"/>
  <c r="H653" i="1"/>
  <c r="G654" i="1"/>
  <c r="H654" i="1"/>
  <c r="H655" i="1"/>
  <c r="L256" i="1"/>
  <c r="C18" i="2"/>
  <c r="C91" i="2"/>
  <c r="D31" i="2"/>
  <c r="D50" i="2"/>
  <c r="E103" i="2"/>
  <c r="E78" i="2"/>
  <c r="H112" i="1"/>
  <c r="J571" i="1"/>
  <c r="L419" i="1"/>
  <c r="D81" i="2"/>
  <c r="I169" i="1"/>
  <c r="G552" i="1"/>
  <c r="J643" i="1"/>
  <c r="G476" i="1"/>
  <c r="H623" i="1" s="1"/>
  <c r="J623" i="1" s="1"/>
  <c r="J140" i="1"/>
  <c r="F571" i="1"/>
  <c r="G22" i="2"/>
  <c r="H140" i="1"/>
  <c r="L401" i="1"/>
  <c r="C139" i="2" s="1"/>
  <c r="L560" i="1"/>
  <c r="H192" i="1"/>
  <c r="J655" i="1"/>
  <c r="J645" i="1"/>
  <c r="G545" i="1"/>
  <c r="C70" i="2" l="1"/>
  <c r="I545" i="1"/>
  <c r="J644" i="1"/>
  <c r="L393" i="1"/>
  <c r="C138" i="2" s="1"/>
  <c r="J641" i="1"/>
  <c r="C11" i="10"/>
  <c r="C18" i="10"/>
  <c r="K545" i="1"/>
  <c r="H545" i="1"/>
  <c r="G164" i="2"/>
  <c r="G156" i="2"/>
  <c r="G161" i="2"/>
  <c r="G157" i="2"/>
  <c r="A40" i="12"/>
  <c r="J552" i="1"/>
  <c r="J545" i="1"/>
  <c r="K549" i="1"/>
  <c r="F552" i="1"/>
  <c r="I476" i="1"/>
  <c r="H625" i="1" s="1"/>
  <c r="J625" i="1" s="1"/>
  <c r="I52" i="1"/>
  <c r="H620" i="1" s="1"/>
  <c r="J620" i="1" s="1"/>
  <c r="L290" i="1"/>
  <c r="L338" i="1" s="1"/>
  <c r="L352" i="1" s="1"/>
  <c r="G633" i="1" s="1"/>
  <c r="J633" i="1" s="1"/>
  <c r="E112" i="2"/>
  <c r="J624" i="1"/>
  <c r="H52" i="1"/>
  <c r="H619" i="1" s="1"/>
  <c r="K598" i="1"/>
  <c r="G647" i="1" s="1"/>
  <c r="J634" i="1"/>
  <c r="L362" i="1"/>
  <c r="C27" i="10" s="1"/>
  <c r="G661" i="1"/>
  <c r="D18" i="2"/>
  <c r="J622" i="1"/>
  <c r="C81" i="2"/>
  <c r="F112" i="1"/>
  <c r="H257" i="1"/>
  <c r="H271" i="1" s="1"/>
  <c r="K271" i="1"/>
  <c r="C131" i="2"/>
  <c r="H647" i="1"/>
  <c r="J647" i="1" s="1"/>
  <c r="L211" i="1"/>
  <c r="G4" i="14" s="1"/>
  <c r="H4" i="14" s="1"/>
  <c r="I4" i="14" s="1"/>
  <c r="I257" i="1"/>
  <c r="I271" i="1" s="1"/>
  <c r="J617" i="1"/>
  <c r="J639" i="1"/>
  <c r="K551" i="1"/>
  <c r="I25" i="13"/>
  <c r="K550" i="1"/>
  <c r="J271" i="1"/>
  <c r="L534" i="1"/>
  <c r="K500" i="1"/>
  <c r="I460" i="1"/>
  <c r="I452" i="1"/>
  <c r="I446" i="1"/>
  <c r="G642" i="1" s="1"/>
  <c r="H338" i="1"/>
  <c r="H352" i="1" s="1"/>
  <c r="F271" i="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D29" i="13"/>
  <c r="C29" i="13" s="1"/>
  <c r="D12" i="13"/>
  <c r="C12" i="13" s="1"/>
  <c r="D5" i="13"/>
  <c r="C5" i="13" s="1"/>
  <c r="E8" i="13"/>
  <c r="C8" i="13" s="1"/>
  <c r="E128" i="2"/>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H660" i="1"/>
  <c r="G36" i="14"/>
  <c r="H36" i="14" s="1"/>
  <c r="I36" i="14"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C144" i="2" s="1"/>
  <c r="L571" i="1"/>
  <c r="I192" i="1"/>
  <c r="E91" i="2"/>
  <c r="E104" i="2"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G104" i="2" s="1"/>
  <c r="J618" i="1"/>
  <c r="G42" i="2"/>
  <c r="J51" i="1"/>
  <c r="G16" i="2"/>
  <c r="G18" i="2" s="1"/>
  <c r="J19" i="1"/>
  <c r="G621" i="1" s="1"/>
  <c r="F545" i="1"/>
  <c r="H434" i="1"/>
  <c r="J619" i="1"/>
  <c r="D103" i="2"/>
  <c r="D104" i="2" s="1"/>
  <c r="I140" i="1"/>
  <c r="I193" i="1" s="1"/>
  <c r="G630" i="1" s="1"/>
  <c r="J630" i="1" s="1"/>
  <c r="A22" i="12"/>
  <c r="G50" i="2"/>
  <c r="G51" i="2" s="1"/>
  <c r="J652" i="1"/>
  <c r="G571" i="1"/>
  <c r="I434" i="1"/>
  <c r="G434" i="1"/>
  <c r="I663" i="1"/>
  <c r="G635" i="1"/>
  <c r="J635" i="1" s="1"/>
  <c r="L408" i="1" l="1"/>
  <c r="G637" i="1" s="1"/>
  <c r="J637" i="1" s="1"/>
  <c r="H646" i="1"/>
  <c r="J646" i="1" s="1"/>
  <c r="L257" i="1"/>
  <c r="L271" i="1" s="1"/>
  <c r="G632" i="1" s="1"/>
  <c r="J632" i="1" s="1"/>
  <c r="E115" i="2"/>
  <c r="E145" i="2" s="1"/>
  <c r="L545" i="1"/>
  <c r="F51" i="2"/>
  <c r="H648" i="1"/>
  <c r="J648" i="1" s="1"/>
  <c r="I661" i="1"/>
  <c r="H664" i="1"/>
  <c r="F660" i="1"/>
  <c r="F664" i="1" s="1"/>
  <c r="F667" i="1" s="1"/>
  <c r="C63" i="2"/>
  <c r="C104" i="2" s="1"/>
  <c r="E33" i="13"/>
  <c r="D35" i="13" s="1"/>
  <c r="C115" i="2"/>
  <c r="C128" i="2"/>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I660" i="1" l="1"/>
  <c r="F672" i="1"/>
  <c r="C4" i="10" s="1"/>
  <c r="I664" i="1"/>
  <c r="I672" i="1" s="1"/>
  <c r="C7" i="10" s="1"/>
  <c r="H667" i="1"/>
  <c r="H672" i="1"/>
  <c r="C6" i="10" s="1"/>
  <c r="G672" i="1"/>
  <c r="C5" i="10" s="1"/>
  <c r="C145" i="2"/>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 r="B13" i="12"/>
  <c r="A13" i="12"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<sst xmlns="http://schemas.openxmlformats.org/spreadsheetml/2006/main" count="5510" uniqueCount="1616">
  <si>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</si>
  <si>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</si>
  <si>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</si>
  <si>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</si>
  <si>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</si>
  <si>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</si>
  <si>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</si>
  <si>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</si>
  <si>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</si>
  <si>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</si>
  <si>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</si>
  <si>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</si>
  <si>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</si>
  <si>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</si>
  <si>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</si>
  <si>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</si>
  <si>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</si>
  <si>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</si>
  <si>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</si>
  <si>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</si>
  <si>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</si>
  <si>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</si>
  <si>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</si>
  <si>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</si>
  <si>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</si>
  <si>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</si>
  <si>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</si>
  <si>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</si>
  <si>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</si>
  <si>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</si>
  <si>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</si>
  <si>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</si>
  <si>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</si>
  <si>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</si>
  <si>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</si>
  <si>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</si>
  <si>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</si>
  <si>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</si>
  <si>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</si>
  <si>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</si>
  <si>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</si>
  <si>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</si>
  <si>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</si>
  <si>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</si>
  <si>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</si>
  <si>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</si>
  <si>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</si>
  <si>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</si>
  <si>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</si>
  <si>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</si>
  <si>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</si>
  <si>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</si>
  <si>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</si>
  <si>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</si>
  <si>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</si>
  <si>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</si>
  <si>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</si>
  <si>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</si>
  <si>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</si>
  <si>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</si>
  <si>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</si>
  <si>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</si>
  <si>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</si>
  <si>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</si>
  <si>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</si>
  <si>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</si>
  <si>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</si>
  <si>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</si>
  <si>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</si>
  <si>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</si>
  <si>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</si>
  <si>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</si>
  <si>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</si>
  <si>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</si>
  <si>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</si>
  <si>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</si>
  <si>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</si>
  <si>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</si>
  <si>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</si>
  <si>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</si>
  <si>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</si>
  <si>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</si>
  <si>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</si>
  <si>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</si>
  <si>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</si>
  <si>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</si>
  <si>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</si>
  <si>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</si>
  <si>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</si>
  <si>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</si>
  <si>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</si>
  <si>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</si>
  <si>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</si>
  <si>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</si>
  <si>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</si>
  <si>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</si>
  <si>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</si>
  <si>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</si>
  <si>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</si>
  <si>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</si>
  <si>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</si>
  <si>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</si>
  <si>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</si>
  <si>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</si>
  <si>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</si>
  <si>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</si>
  <si>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</si>
  <si>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</si>
  <si>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</si>
  <si>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</si>
  <si>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</si>
  <si>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</si>
  <si>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</si>
  <si>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</si>
  <si>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</si>
  <si>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</si>
  <si>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</si>
  <si>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</si>
  <si>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</si>
  <si>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</si>
  <si>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</si>
  <si>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</si>
  <si>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</si>
  <si>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</si>
  <si>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</si>
  <si>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</si>
  <si>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</si>
  <si>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</si>
  <si>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</si>
  <si>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</si>
  <si>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</si>
  <si>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</si>
  <si>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</si>
  <si>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</si>
  <si>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</si>
  <si>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</si>
  <si>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</si>
  <si>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</si>
  <si>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</si>
  <si>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</si>
  <si>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</si>
  <si>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</si>
  <si>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</si>
  <si>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</si>
  <si>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</si>
  <si>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</si>
  <si>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</si>
  <si>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</si>
  <si>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</si>
  <si>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</si>
  <si>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</si>
  <si>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</si>
  <si>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</si>
  <si>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</si>
  <si>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</si>
  <si>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</si>
  <si>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</si>
  <si>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</si>
  <si>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</si>
  <si>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</si>
  <si>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</si>
  <si>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</si>
  <si>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</si>
  <si>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</si>
  <si>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</si>
  <si>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</si>
  <si>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</si>
  <si>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</si>
  <si>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</si>
  <si>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</si>
  <si>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</si>
  <si>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</si>
  <si>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</si>
  <si>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</si>
  <si>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</si>
  <si>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</si>
  <si>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</si>
  <si>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</si>
  <si>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</si>
  <si>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</si>
  <si>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</si>
  <si>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</si>
  <si>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</si>
  <si>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</si>
  <si>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</si>
  <si>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</si>
  <si>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</si>
  <si>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</si>
  <si>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</si>
  <si>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</si>
  <si>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</si>
  <si>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</si>
  <si>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</si>
  <si>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</si>
  <si>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</si>
  <si>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</si>
  <si>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</si>
  <si>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</si>
  <si>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</si>
  <si>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</si>
  <si>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</si>
  <si>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</si>
  <si>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</si>
  <si>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</si>
  <si>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</si>
  <si>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</si>
  <si>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</si>
  <si>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</si>
  <si>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</si>
  <si>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</si>
  <si>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</si>
  <si>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</si>
  <si>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</si>
  <si>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</si>
  <si>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</si>
  <si>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</si>
  <si>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</si>
  <si>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</si>
  <si>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</si>
  <si>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</si>
  <si>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</si>
  <si>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</si>
  <si>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</si>
  <si>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</si>
  <si>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</si>
  <si>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</si>
  <si>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</si>
  <si>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</si>
  <si>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</si>
  <si>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</si>
  <si>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</si>
  <si>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</si>
  <si>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</si>
  <si>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</si>
  <si>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</si>
  <si>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</si>
  <si>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</si>
  <si>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</si>
  <si>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</si>
  <si>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</si>
  <si>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</si>
  <si>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</si>
  <si>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</si>
  <si>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</si>
  <si>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</si>
  <si>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</si>
  <si>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</si>
  <si>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</si>
  <si>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</si>
  <si>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</si>
  <si>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</si>
  <si>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</si>
  <si>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</si>
  <si>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</si>
  <si>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</si>
  <si>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</si>
  <si>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</si>
  <si>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</si>
  <si>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</si>
  <si>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</si>
  <si>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</si>
  <si>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</si>
  <si>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</si>
  <si>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</si>
  <si>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</si>
  <si>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</si>
  <si>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</si>
  <si>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</si>
  <si>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</si>
  <si>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</si>
  <si>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</si>
  <si>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</si>
  <si>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</si>
  <si>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</si>
  <si>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</si>
  <si>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</si>
  <si>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</si>
  <si>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</si>
  <si>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</si>
  <si>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</si>
  <si>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</si>
  <si>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</si>
  <si>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</si>
  <si>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</si>
  <si>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</si>
  <si>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</si>
  <si>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</si>
  <si>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</si>
  <si>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</si>
  <si>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</si>
  <si>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</si>
  <si>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</si>
  <si>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</si>
  <si>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</si>
  <si>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</si>
  <si>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</si>
  <si>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</si>
  <si>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</si>
  <si>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</si>
  <si>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</si>
  <si>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</si>
  <si>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</si>
  <si>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</si>
  <si>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</si>
  <si>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</si>
  <si>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</si>
  <si>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</si>
  <si>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</si>
  <si>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</si>
  <si>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</si>
  <si>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</si>
  <si>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</si>
  <si>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</si>
  <si>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</si>
  <si>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</si>
  <si>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</si>
  <si>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</si>
  <si>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</si>
  <si>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</si>
  <si>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</si>
  <si>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</si>
  <si>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</si>
  <si>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</si>
  <si>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</si>
  <si>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</si>
  <si>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</si>
  <si>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</si>
  <si>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</si>
  <si>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</si>
  <si>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</si>
  <si>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</si>
  <si>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</si>
  <si>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</si>
  <si>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</si>
  <si>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</si>
  <si>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</si>
  <si>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</si>
  <si>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</si>
  <si>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</si>
  <si>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</si>
  <si>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</si>
  <si>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</si>
  <si>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</si>
  <si>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</si>
  <si>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</si>
  <si>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</si>
  <si>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</si>
  <si>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</si>
  <si>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</si>
  <si>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</si>
  <si>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</si>
  <si>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</si>
  <si>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</si>
  <si>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</si>
  <si>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</si>
  <si>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</si>
  <si>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</si>
  <si>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</si>
  <si>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</si>
  <si>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</si>
  <si>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</si>
  <si>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</si>
  <si>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</si>
  <si>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</si>
  <si>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</si>
  <si>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</si>
  <si>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</si>
  <si>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</si>
  <si>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</si>
  <si>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</si>
  <si>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</si>
  <si>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</si>
  <si>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</si>
  <si>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</si>
  <si>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</si>
  <si>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</si>
  <si>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</si>
  <si>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</si>
  <si>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</si>
  <si>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</si>
  <si>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</si>
  <si>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</si>
  <si>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</si>
  <si>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</si>
  <si>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</si>
  <si>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</si>
  <si>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</si>
  <si>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</si>
  <si>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</si>
  <si>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</si>
  <si>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</si>
  <si>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</si>
  <si>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</si>
  <si>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</si>
  <si>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</si>
  <si>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</si>
  <si>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</si>
  <si>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</si>
  <si>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</si>
  <si>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</si>
  <si>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</si>
  <si>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</si>
  <si>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</si>
  <si>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</si>
  <si>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</si>
  <si>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</si>
  <si>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</si>
  <si>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</si>
  <si>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</si>
  <si>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</si>
  <si>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</si>
  <si>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</si>
  <si>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</si>
  <si>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</si>
  <si>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</si>
  <si>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</si>
  <si>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</si>
  <si>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</si>
  <si>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</si>
  <si>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</si>
  <si>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</si>
  <si>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</si>
  <si>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</si>
  <si>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</si>
  <si>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</si>
  <si>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</si>
  <si>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</si>
  <si>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</si>
  <si>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</si>
  <si>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</si>
  <si>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</si>
  <si>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</si>
  <si>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</si>
  <si>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</si>
  <si>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</si>
  <si>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</si>
  <si>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</si>
  <si>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</si>
  <si>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</si>
  <si>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</si>
  <si>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</si>
  <si>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</si>
  <si>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</si>
  <si>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</si>
  <si>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</si>
  <si>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</si>
  <si>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</si>
  <si>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</si>
  <si>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</si>
  <si>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</si>
  <si>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</si>
  <si>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</si>
  <si>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</si>
  <si>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</si>
  <si>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</si>
  <si>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</si>
  <si>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</si>
  <si>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</si>
  <si>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</si>
  <si>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</si>
  <si>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</si>
  <si>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</si>
  <si>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</si>
  <si>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</si>
  <si>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</si>
  <si>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</si>
  <si>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</si>
  <si>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</si>
  <si>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</si>
  <si>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</si>
  <si>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</si>
  <si>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</si>
  <si>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</si>
  <si>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</si>
  <si>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</si>
  <si>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</si>
  <si>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</si>
  <si>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</si>
  <si>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</si>
  <si>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</si>
  <si>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</si>
  <si>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</si>
  <si>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</si>
  <si>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</si>
  <si>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</si>
  <si>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</si>
  <si>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</si>
  <si>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</si>
  <si>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</si>
  <si>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</si>
  <si>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</si>
  <si>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</si>
  <si>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</si>
  <si>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</si>
  <si>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</si>
  <si>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</si>
  <si>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</si>
  <si>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</si>
  <si>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</si>
  <si>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</si>
  <si>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</si>
  <si>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</si>
  <si>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</si>
  <si>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</si>
  <si>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</si>
  <si>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</si>
  <si>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</si>
  <si>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</si>
  <si>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</si>
  <si>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</si>
  <si>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</si>
  <si>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</si>
  <si>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</si>
  <si>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</si>
  <si>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</si>
  <si>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</si>
  <si>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</si>
  <si>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</si>
  <si>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</si>
  <si>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</si>
  <si>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</si>
  <si>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</si>
  <si>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</si>
  <si>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</si>
  <si>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</si>
  <si>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</si>
  <si>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</si>
  <si>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</si>
  <si>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</si>
  <si>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</si>
  <si>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</si>
  <si>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</si>
  <si>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</si>
  <si>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</si>
  <si>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</si>
  <si>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</si>
  <si>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</si>
  <si>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</si>
  <si>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</si>
  <si>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</si>
  <si>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</si>
  <si>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</si>
  <si>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</si>
  <si>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</si>
  <si>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</si>
  <si>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</si>
  <si>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</si>
  <si>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</si>
  <si>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</si>
  <si>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</si>
  <si>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</si>
  <si>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</si>
  <si>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</si>
  <si>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</si>
  <si>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</si>
  <si>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</si>
  <si>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</si>
  <si>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</si>
  <si>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</si>
  <si>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</si>
  <si>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</si>
  <si>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</si>
  <si>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</si>
  <si>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</si>
  <si>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</si>
  <si>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</si>
  <si>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</si>
  <si>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</si>
  <si>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</si>
  <si>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</si>
  <si>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</si>
  <si>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</si>
  <si>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</si>
  <si>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</si>
  <si>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</si>
  <si>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</si>
  <si>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</si>
  <si>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</si>
  <si>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</si>
  <si>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</si>
  <si>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</si>
  <si>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</si>
  <si>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</si>
  <si>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</si>
  <si>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</si>
  <si>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</si>
  <si>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</si>
  <si>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</si>
  <si>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</si>
  <si>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</si>
  <si>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</si>
  <si>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</si>
  <si>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</si>
  <si>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</si>
  <si>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</si>
  <si>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</si>
  <si>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</si>
  <si>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</si>
  <si>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</si>
  <si>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</si>
  <si>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</si>
  <si>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</si>
  <si>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</si>
  <si>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</si>
  <si>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</si>
  <si>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</si>
  <si>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</si>
  <si>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</si>
  <si>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</si>
  <si>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</si>
  <si>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</si>
  <si>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</si>
  <si>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</si>
  <si>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</si>
  <si>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</si>
  <si>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</si>
  <si>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</si>
  <si>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</si>
  <si>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</si>
  <si>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</si>
  <si>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</si>
  <si>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</si>
  <si>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</si>
  <si>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</si>
  <si>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</si>
  <si>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</si>
  <si>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</si>
  <si>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</si>
  <si>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</si>
  <si>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</si>
  <si>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</si>
  <si>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</si>
  <si>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</si>
  <si>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</si>
  <si>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</si>
  <si>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</si>
  <si>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</si>
  <si>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</si>
  <si>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</si>
  <si>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</si>
  <si>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</si>
  <si>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</si>
  <si>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</si>
  <si>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</si>
  <si>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</si>
  <si>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</si>
  <si>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</si>
  <si>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</si>
  <si>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</si>
  <si>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</si>
  <si>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</si>
  <si>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</si>
  <si>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</si>
  <si>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</si>
  <si>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</si>
  <si>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</si>
  <si>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</si>
  <si>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</si>
  <si>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</si>
  <si>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</si>
  <si>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</si>
  <si>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</si>
  <si>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</si>
  <si>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</si>
  <si>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</si>
  <si>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</si>
  <si>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</si>
  <si>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</si>
  <si>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</si>
  <si>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</si>
  <si>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</si>
  <si>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</si>
  <si>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</si>
  <si>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</si>
  <si>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</si>
  <si>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</si>
  <si>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</si>
  <si>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</si>
  <si>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</si>
  <si>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</si>
  <si>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</si>
  <si>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</si>
  <si>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</si>
  <si>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</si>
  <si>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</si>
  <si>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</si>
  <si>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</si>
  <si>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</si>
  <si>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</si>
  <si>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</si>
  <si>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</si>
  <si>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</si>
  <si>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</si>
  <si>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</si>
  <si>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</si>
  <si>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</si>
  <si>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</si>
  <si>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</si>
  <si>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</si>
  <si>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</si>
  <si>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</si>
  <si>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</si>
  <si>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</si>
  <si>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</si>
  <si>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</si>
  <si>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</si>
  <si>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</si>
  <si>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</si>
  <si>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</si>
  <si>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</si>
  <si>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</si>
  <si>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</si>
  <si>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</si>
  <si>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</si>
  <si>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</si>
  <si>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</si>
  <si>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</si>
  <si>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</si>
  <si>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</si>
  <si>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</si>
  <si>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</si>
  <si>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</si>
  <si>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</si>
  <si>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</si>
  <si>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</si>
  <si>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</si>
  <si>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</si>
  <si>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</si>
  <si>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</si>
  <si>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</si>
  <si>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</si>
  <si>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</si>
  <si>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</si>
  <si>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</si>
  <si>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</si>
  <si>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</si>
  <si>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</si>
  <si>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</si>
  <si>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</si>
  <si>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</si>
  <si>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</si>
  <si>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</si>
  <si>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</si>
  <si>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</si>
  <si>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</si>
  <si>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</si>
  <si>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</si>
  <si>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</si>
  <si>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</si>
  <si>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</si>
  <si>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</si>
  <si>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</si>
  <si>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</si>
  <si>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</si>
  <si>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</si>
  <si>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</si>
  <si>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</si>
  <si>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</si>
  <si>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</si>
  <si>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</si>
  <si>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</si>
  <si>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</si>
  <si>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</si>
  <si>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</si>
  <si>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</si>
  <si>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</si>
  <si>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</si>
  <si>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</si>
  <si>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</si>
  <si>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</si>
  <si>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</si>
  <si>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</si>
  <si>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</si>
  <si>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</si>
  <si>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</si>
  <si>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</si>
  <si>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</si>
  <si>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</si>
  <si>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</si>
  <si>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</si>
  <si>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</si>
  <si>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</si>
  <si>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</si>
  <si>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</si>
  <si>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</si>
  <si>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</si>
  <si>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</si>
  <si>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</si>
  <si>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</si>
  <si>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</si>
  <si>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</si>
  <si>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</si>
  <si>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</si>
  <si>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</si>
  <si>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</si>
  <si>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</si>
  <si>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</si>
  <si>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</si>
  <si>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</si>
  <si>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</si>
  <si>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</si>
  <si>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</si>
  <si>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</si>
  <si>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</si>
  <si>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</si>
  <si>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</si>
  <si>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</si>
  <si>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</si>
  <si>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</si>
  <si>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</si>
  <si>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</si>
  <si>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</si>
  <si>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</si>
  <si>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</si>
  <si>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</si>
  <si>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</si>
  <si>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</si>
  <si>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</si>
  <si>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</si>
  <si>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</si>
  <si>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</si>
  <si>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</si>
  <si>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</si>
  <si>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</si>
  <si>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</si>
  <si>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</si>
  <si>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</si>
  <si>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</si>
  <si>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</si>
  <si>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</si>
  <si>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</si>
  <si>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</si>
  <si>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</si>
  <si>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</si>
  <si>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</si>
  <si>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</si>
  <si>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</si>
  <si>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</si>
  <si>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</si>
  <si>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</si>
  <si>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</si>
  <si>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</si>
  <si>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</si>
  <si>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</si>
  <si>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</si>
  <si>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</si>
  <si>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</si>
  <si>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</si>
  <si>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</si>
  <si>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</si>
  <si>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</si>
  <si>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</si>
  <si>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</si>
  <si>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</si>
  <si>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</si>
  <si>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</si>
  <si>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</si>
  <si>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</si>
  <si>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</si>
  <si>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</si>
  <si>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</si>
  <si>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</si>
  <si>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</si>
  <si>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</si>
  <si>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</si>
  <si>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</si>
  <si>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</si>
  <si>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</si>
  <si>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</si>
  <si>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</si>
  <si>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</si>
  <si>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</si>
  <si>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</si>
  <si>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</si>
  <si>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</si>
  <si>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</si>
  <si>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</si>
  <si>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</si>
  <si>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</si>
  <si>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</si>
  <si>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</si>
  <si>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</si>
  <si>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</si>
  <si>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</si>
  <si>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</si>
  <si>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</si>
  <si>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</si>
  <si>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</si>
  <si>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</si>
  <si>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</si>
  <si>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</si>
  <si>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</si>
  <si>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</si>
  <si>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</si>
  <si>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</si>
  <si>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</si>
  <si>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</si>
  <si>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</si>
  <si>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</si>
  <si>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</si>
  <si>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</si>
  <si>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</si>
  <si>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</si>
  <si>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</si>
  <si>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</si>
  <si>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</si>
  <si>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</si>
  <si>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</si>
  <si>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</si>
  <si>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</si>
  <si>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</si>
  <si>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</si>
  <si>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</si>
  <si>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</si>
  <si>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</si>
  <si>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</si>
  <si>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</si>
  <si>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</si>
  <si>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</si>
  <si>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</si>
  <si>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</si>
  <si>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</si>
  <si>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</si>
  <si>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</si>
  <si>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</si>
  <si>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</si>
  <si>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</si>
  <si>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</si>
  <si>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</si>
  <si>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</si>
  <si>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</si>
  <si>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</si>
  <si>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</si>
  <si>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</si>
  <si>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</si>
  <si>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</si>
  <si>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</si>
  <si>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</si>
  <si>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</si>
  <si>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</si>
  <si>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</si>
  <si>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</si>
  <si>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</si>
  <si>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</si>
  <si>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</si>
  <si>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</si>
  <si>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</si>
  <si>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</si>
  <si>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</si>
  <si>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</si>
  <si>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</si>
  <si>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</si>
  <si>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</si>
  <si>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</si>
  <si>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</si>
  <si>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</si>
  <si>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</si>
  <si>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</si>
  <si>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</si>
  <si>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</si>
  <si>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</si>
  <si>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</si>
  <si>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</si>
  <si>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</si>
  <si>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</si>
  <si>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</si>
  <si>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</si>
  <si>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</si>
  <si>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</si>
  <si>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</si>
  <si>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</si>
  <si>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</si>
  <si>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</si>
  <si>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</si>
  <si>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</si>
  <si>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</si>
  <si>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</si>
  <si>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</si>
  <si>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</si>
  <si>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</si>
  <si>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</si>
  <si>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</si>
  <si>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</si>
  <si>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</si>
  <si>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</si>
  <si>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</si>
  <si>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</si>
  <si>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</si>
  <si>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</si>
  <si>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</si>
  <si>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</si>
  <si>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</si>
  <si>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</si>
  <si>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</si>
  <si>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</si>
  <si>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</si>
  <si>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</si>
  <si>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</si>
  <si>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</si>
  <si>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</si>
  <si>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</si>
  <si>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</si>
  <si>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</si>
  <si>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</si>
  <si>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</si>
  <si>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</si>
  <si>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</si>
  <si>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</si>
  <si>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</si>
  <si>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</si>
  <si>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</si>
  <si>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</si>
  <si>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</si>
  <si>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</si>
  <si>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</si>
  <si>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</si>
  <si>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</si>
  <si>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</si>
  <si>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</si>
  <si>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</si>
  <si>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</si>
  <si>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</si>
  <si>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</si>
  <si>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</si>
  <si>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</si>
  <si>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</si>
  <si>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</si>
  <si>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</si>
  <si>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</si>
  <si>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</si>
  <si>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</si>
  <si>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</si>
  <si>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</si>
  <si>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</si>
  <si>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</si>
  <si>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</si>
  <si>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</si>
  <si>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</si>
  <si>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</si>
  <si>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</si>
  <si>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</si>
  <si>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</si>
  <si>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</si>
  <si>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</si>
  <si>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</si>
  <si>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</si>
  <si>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</si>
  <si>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</si>
  <si>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</si>
  <si>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</si>
  <si>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</si>
  <si>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</si>
  <si>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</si>
  <si>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</si>
  <si>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</si>
  <si>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</si>
  <si>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</si>
  <si>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</si>
  <si>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</si>
  <si>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</si>
  <si>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</si>
  <si>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</si>
  <si>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</si>
  <si>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</si>
  <si>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</si>
  <si>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</si>
  <si>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</si>
  <si>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</si>
  <si>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</si>
  <si>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</si>
  <si>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</si>
  <si>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</si>
  <si>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</si>
  <si>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</si>
  <si>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</si>
  <si>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</si>
  <si>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</si>
  <si>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</si>
  <si>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</si>
  <si>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</si>
  <si>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</si>
  <si>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</si>
  <si>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</si>
  <si>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</si>
  <si>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</si>
  <si>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</si>
  <si>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</si>
  <si>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</si>
  <si>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</si>
  <si>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</si>
  <si>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</si>
  <si>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</si>
  <si>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</si>
  <si>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</si>
  <si>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</si>
  <si>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</si>
  <si>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</si>
  <si>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</si>
  <si>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</si>
  <si>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</si>
  <si>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</si>
  <si>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</si>
  <si>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</si>
  <si>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</si>
  <si>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</si>
  <si>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</si>
  <si>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</si>
  <si>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</si>
  <si>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</si>
  <si>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</si>
  <si>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</si>
  <si>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</si>
  <si>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</si>
  <si>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</si>
  <si>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</si>
  <si>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</si>
  <si>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</si>
  <si>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</si>
  <si>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</si>
  <si>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</si>
  <si>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</si>
  <si>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</si>
  <si>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</si>
  <si>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</si>
  <si>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</si>
  <si>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</si>
  <si>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</si>
  <si>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</si>
  <si>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</si>
  <si>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</si>
  <si>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</si>
  <si>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</si>
  <si>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</si>
  <si>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</si>
  <si>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</si>
  <si>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</si>
  <si>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</si>
  <si>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</si>
  <si>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</si>
  <si>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</si>
  <si>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</si>
  <si>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</si>
  <si>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</si>
  <si>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</si>
  <si>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</si>
  <si>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</si>
  <si>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</si>
  <si>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</si>
  <si>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</si>
  <si>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</si>
  <si>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</si>
  <si>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</si>
  <si>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</si>
  <si>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</si>
  <si>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</si>
  <si>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</si>
  <si>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</si>
  <si>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</si>
  <si>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</si>
  <si>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</si>
  <si>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</si>
  <si>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</si>
  <si>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</si>
  <si>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</si>
  <si>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</si>
  <si>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</si>
  <si>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</si>
  <si>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</si>
  <si>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</si>
  <si>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</si>
  <si>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</si>
  <si>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</si>
  <si>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</si>
  <si>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</si>
  <si>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</si>
  <si>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</si>
  <si>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</si>
  <si>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</si>
  <si>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</si>
  <si>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</si>
  <si>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</si>
  <si>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</si>
  <si>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</si>
  <si>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</si>
  <si>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</si>
  <si>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</si>
  <si>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</si>
  <si>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</si>
  <si>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</si>
  <si>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</si>
  <si>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</si>
  <si>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</si>
  <si>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</si>
  <si>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</si>
  <si>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</si>
  <si>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</si>
  <si>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</si>
  <si>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</si>
  <si>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</si>
  <si>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</si>
  <si>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</si>
  <si>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</si>
  <si>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</si>
  <si>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</si>
  <si>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</si>
  <si>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</si>
  <si>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</si>
  <si>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</si>
  <si>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</si>
  <si>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</si>
  <si>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</si>
  <si>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</si>
  <si>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</si>
  <si>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</si>
  <si>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</si>
  <si>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</si>
  <si>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</si>
  <si>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</si>
  <si>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</si>
  <si>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</si>
  <si>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</si>
  <si>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</si>
  <si>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</si>
  <si>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</si>
  <si>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</si>
  <si>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</si>
  <si>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</si>
  <si>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</si>
  <si>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</si>
  <si>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</si>
  <si>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</si>
  <si>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</si>
  <si>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</si>
  <si>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</si>
  <si>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</si>
  <si>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</si>
  <si>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</si>
  <si>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</si>
  <si>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</si>
  <si>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</si>
  <si>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</si>
  <si>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</si>
  <si>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</si>
  <si>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</si>
  <si>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</si>
  <si>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</si>
  <si>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</si>
  <si>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</si>
  <si>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</si>
  <si>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</si>
  <si>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</si>
  <si>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</si>
  <si>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</si>
  <si>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</si>
  <si>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</si>
  <si>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</si>
  <si>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</si>
  <si>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</si>
  <si>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</si>
  <si>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</si>
  <si>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</si>
  <si>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</si>
  <si>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</si>
  <si>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</si>
  <si>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</si>
  <si>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</si>
  <si>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</si>
  <si>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</si>
  <si>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</si>
  <si>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</si>
  <si>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</si>
  <si>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</si>
  <si>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</si>
  <si>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</si>
  <si>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</si>
  <si>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</si>
  <si>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</si>
  <si>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</si>
  <si>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</si>
  <si>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</si>
  <si>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</si>
  <si>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</si>
  <si>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</si>
  <si>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</si>
  <si>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</si>
  <si>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</si>
  <si>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</si>
  <si>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</si>
  <si>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</si>
  <si>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</si>
  <si>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</si>
  <si>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</si>
  <si>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</si>
  <si>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</si>
  <si>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</si>
  <si>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</si>
  <si>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</si>
  <si>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</si>
  <si>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</si>
  <si>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</si>
  <si>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</si>
  <si>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</si>
  <si>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</si>
  <si>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</si>
  <si>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</si>
  <si>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</si>
  <si>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</si>
  <si>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</si>
  <si>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</si>
  <si>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</si>
  <si>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</si>
  <si>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</si>
  <si>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</si>
  <si>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</si>
  <si>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</si>
  <si>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</si>
  <si>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</si>
  <si>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</si>
  <si>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</si>
  <si>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</si>
  <si>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</si>
  <si>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</si>
  <si>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</si>
  <si>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</si>
  <si>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</si>
  <si>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</si>
  <si>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</si>
  <si>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</si>
  <si>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</si>
  <si>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</si>
  <si>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</si>
  <si>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</si>
  <si>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</si>
  <si>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</si>
  <si>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</si>
  <si>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</si>
  <si>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</si>
  <si>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</si>
  <si>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</si>
  <si>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</si>
  <si>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</si>
  <si>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</si>
  <si>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</si>
  <si>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</si>
  <si>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</si>
  <si>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</si>
  <si>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</si>
  <si>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</si>
  <si>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</si>
  <si>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</si>
  <si>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</si>
  <si>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</si>
  <si>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</si>
  <si>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</si>
  <si>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</si>
  <si>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</si>
  <si>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</si>
  <si>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</si>
  <si>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</si>
  <si>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</si>
  <si>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</si>
  <si>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</si>
  <si>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</si>
  <si>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</si>
  <si>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</si>
  <si>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</si>
  <si>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</si>
  <si>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</si>
  <si>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</si>
  <si>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</si>
  <si>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</si>
  <si>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</si>
  <si>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</si>
  <si>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</si>
  <si>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</si>
  <si>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</si>
  <si>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</si>
  <si>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</si>
  <si>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</si>
  <si>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</si>
  <si>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</si>
  <si>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</si>
  <si>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</si>
  <si>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</si>
  <si>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</si>
  <si>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</si>
  <si>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</si>
  <si>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</si>
  <si>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</si>
  <si>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</si>
  <si>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</si>
  <si>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</si>
  <si>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</si>
  <si>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</si>
  <si>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</si>
  <si>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</si>
  <si>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</si>
  <si>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</si>
  <si>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</si>
  <si>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</si>
  <si>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</si>
  <si>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</si>
  <si>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</si>
  <si>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</si>
  <si>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</si>
  <si>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</si>
  <si>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</si>
  <si>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</si>
  <si>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</si>
  <si>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</si>
  <si>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</si>
  <si>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</si>
  <si>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</si>
  <si>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</si>
  <si>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</si>
  <si>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</si>
  <si>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</si>
  <si>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</si>
  <si>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</si>
  <si>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</si>
  <si>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</si>
  <si>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</si>
  <si>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</si>
  <si>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</si>
  <si>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</si>
  <si>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</si>
  <si>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</si>
  <si>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</si>
  <si>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</si>
  <si>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</si>
  <si>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</si>
  <si>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</si>
  <si>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</si>
  <si>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</si>
  <si>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</si>
  <si>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</si>
  <si>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</si>
  <si>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</si>
  <si>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</si>
  <si>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</si>
  <si>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</si>
  <si>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</si>
  <si>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</si>
  <si>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</si>
  <si>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</si>
  <si>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</si>
  <si>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</si>
  <si>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</si>
  <si>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</si>
  <si>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</si>
  <si>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</si>
  <si>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</si>
  <si>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</si>
  <si>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</si>
  <si>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</si>
  <si>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</si>
  <si>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</si>
  <si>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</si>
  <si>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</si>
  <si>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</si>
  <si>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</si>
  <si>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</si>
  <si>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</si>
  <si>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</si>
  <si>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</si>
  <si>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</si>
  <si>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</si>
  <si>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</si>
  <si>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</si>
  <si>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</si>
  <si>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</si>
  <si>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</si>
  <si>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</si>
  <si>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</si>
  <si>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</si>
  <si>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</si>
  <si>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</si>
  <si>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</si>
  <si>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</si>
  <si>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</si>
  <si>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</si>
  <si>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</si>
  <si>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</si>
  <si>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</si>
  <si>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</si>
  <si>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</si>
  <si>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</si>
  <si>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</si>
  <si>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</si>
  <si>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</si>
  <si>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</si>
  <si>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</si>
  <si>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</si>
  <si>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</si>
  <si>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</si>
  <si>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</si>
  <si>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</si>
  <si>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</si>
  <si>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</si>
  <si>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</si>
  <si>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</si>
  <si>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</si>
  <si>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</si>
  <si>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</si>
  <si>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</si>
  <si>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</si>
  <si>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</si>
  <si>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</si>
  <si>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</si>
  <si>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</si>
  <si>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</si>
  <si>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</si>
  <si>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</si>
  <si>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</si>
  <si>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</si>
  <si>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</si>
  <si>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</si>
  <si>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</si>
  <si>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</si>
  <si>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</si>
  <si>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</si>
  <si>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</si>
  <si>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</si>
  <si>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</si>
  <si>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</si>
  <si>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</si>
  <si>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</si>
  <si>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</si>
  <si>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</si>
  <si>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</si>
  <si>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</si>
  <si>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</si>
  <si>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</si>
  <si>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</si>
  <si>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</si>
  <si>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</si>
  <si>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</si>
  <si>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</si>
  <si>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</si>
  <si>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</si>
  <si>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</si>
  <si>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</si>
  <si>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</si>
  <si>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</si>
  <si>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</si>
  <si>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</si>
  <si>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</si>
  <si>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</si>
  <si>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</si>
  <si>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</si>
  <si>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</si>
  <si>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</si>
  <si>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</si>
  <si>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</si>
  <si>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</si>
  <si>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</si>
  <si>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</si>
  <si>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</si>
  <si>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</si>
  <si>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</si>
  <si>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</si>
  <si>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</si>
  <si>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</si>
  <si>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</si>
  <si>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</si>
  <si>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</si>
  <si>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</si>
  <si>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</si>
  <si>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</si>
  <si>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</si>
  <si>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</si>
  <si>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</si>
  <si>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</si>
  <si>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</si>
  <si>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</si>
  <si>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</si>
  <si>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</si>
  <si>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</si>
  <si>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</si>
  <si>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</si>
  <si>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</si>
  <si>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</si>
  <si>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</si>
  <si>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</si>
  <si>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</si>
  <si>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</si>
  <si>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</si>
  <si>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</si>
  <si>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</si>
  <si>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</si>
  <si>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</si>
  <si>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</si>
  <si>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</si>
  <si>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</si>
  <si>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</si>
  <si>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</si>
  <si>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</si>
  <si>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</si>
  <si>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</si>
  <si>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</si>
  <si>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</si>
  <si>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</si>
  <si>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</si>
  <si>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</si>
  <si>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</si>
  <si>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</si>
  <si>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</si>
  <si>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</si>
  <si>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</si>
  <si>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</si>
  <si>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Unity School District</t>
  </si>
  <si>
    <t>s</t>
  </si>
  <si>
    <t>07/12</t>
  </si>
  <si>
    <t>07/13</t>
  </si>
  <si>
    <t>08/32</t>
  </si>
  <si>
    <t>07/33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</si>
</sst>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showGridLines="0" tabSelected="1" zoomScaleNormal="100" workbookViewId="0">
      <pane xSplit="5" ySplit="3" topLeftCell="F33" activePane="bottomRight" state="frozen"/>
      <selection pane="topRight" activeCell="F1" sqref="F1"/>
      <selection pane="bottomLeft" activeCell="A4" sqref="A4"/>
      <selection pane="bottomRight" activeCell="F51" sqref="F5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539</v>
      </c>
      <c r="C2" s="21">
        <v>539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125740.83-16.57+41613.82</f>
        <v>167338.07999999999</v>
      </c>
      <c r="G9" s="18"/>
      <c r="H9" s="18"/>
      <c r="I9" s="18">
        <v>53458.37</v>
      </c>
      <c r="J9" s="67">
        <f>SUM(I439)</f>
        <v>42003.159999999996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-26157.4</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55089.16</v>
      </c>
      <c r="G13" s="18">
        <v>13098.79</v>
      </c>
      <c r="H13" s="18">
        <v>34662.870000000003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-1568.61</v>
      </c>
      <c r="G14" s="18">
        <v>1198.67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1377.52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222236.15</v>
      </c>
      <c r="G19" s="41">
        <f>SUM(G9:G18)</f>
        <v>-11859.94</v>
      </c>
      <c r="H19" s="41">
        <f>SUM(H9:H18)</f>
        <v>34662.870000000003</v>
      </c>
      <c r="I19" s="41">
        <f>SUM(I9:I18)</f>
        <v>53458.37</v>
      </c>
      <c r="J19" s="41">
        <f>SUM(J9:J18)</f>
        <v>42003.159999999996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-82731.64</v>
      </c>
      <c r="G22" s="18"/>
      <c r="H22" s="18">
        <v>17233.63</v>
      </c>
      <c r="I22" s="18">
        <v>39137.26</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70874.929999999993</v>
      </c>
      <c r="G24" s="18"/>
      <c r="H24" s="18">
        <f>31546.02+1676.6+1607.34+144.04+46.26</f>
        <v>35020.26</v>
      </c>
      <c r="I24" s="18">
        <v>1682.25</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f>-29061.68+11022.01+14935.63+7505.8-1083.66-2313.12+251.03+2273.87-1169.86</f>
        <v>2360.0200000000013</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113337.06</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103840.37</v>
      </c>
      <c r="G32" s="41">
        <f>SUM(G22:G31)</f>
        <v>0</v>
      </c>
      <c r="H32" s="41">
        <f>SUM(H22:H31)</f>
        <v>52253.89</v>
      </c>
      <c r="I32" s="41">
        <f>SUM(I22:I31)</f>
        <v>40819.51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44994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-11859.94</v>
      </c>
      <c r="H48" s="18">
        <v>-17591.02</v>
      </c>
      <c r="I48" s="18">
        <f>694536.87-681898.01</f>
        <v>12638.859999999986</v>
      </c>
      <c r="J48" s="13">
        <f>SUM(I459)</f>
        <v>42003.159999999996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118395.78-44994</f>
        <v>73401.78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118395.78</v>
      </c>
      <c r="G51" s="41">
        <f>SUM(G35:G50)</f>
        <v>-11859.94</v>
      </c>
      <c r="H51" s="41">
        <f>SUM(H35:H50)</f>
        <v>-17591.02</v>
      </c>
      <c r="I51" s="41">
        <f>SUM(I35:I50)</f>
        <v>12638.859999999986</v>
      </c>
      <c r="J51" s="41">
        <f>SUM(J35:J50)</f>
        <v>42003.159999999996</v>
      </c>
      <c r="K51" s="45" t="s">
        <v>288</v>
      </c>
      <c r="L51" s="45" t="s">
        <v>288</v>
      </c>
      <c r="N51" s="264"/>
    </row>
    <row r="52" spans="1:14" s="3" customFormat="1" ht="12.2" customHeight="1" thickTop="1" x14ac:dyDescent="0.15">
      <c r="A52" s="38" t="s">
        <v>455</v>
      </c>
      <c r="B52" s="39" t="s">
        <v>289</v>
      </c>
      <c r="C52" s="6">
        <v>37</v>
      </c>
      <c r="D52" s="39" t="s">
        <v>653</v>
      </c>
      <c r="E52" s="39"/>
      <c r="F52" s="41">
        <f>F51+F32</f>
        <v>222236.15</v>
      </c>
      <c r="G52" s="41">
        <f>G51+G32</f>
        <v>-11859.94</v>
      </c>
      <c r="H52" s="41">
        <f>H51+H32</f>
        <v>34662.869999999995</v>
      </c>
      <c r="I52" s="41">
        <f>I51+I32</f>
        <v>53458.369999999988</v>
      </c>
      <c r="J52" s="41">
        <f>J51+J32</f>
        <v>42003.159999999996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2249713-F118</f>
        <v>2000164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2000164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1868.2</v>
      </c>
      <c r="G96" s="18"/>
      <c r="H96" s="18"/>
      <c r="I96" s="18"/>
      <c r="J96" s="18">
        <v>48.3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13459.72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166.63+3343.88+24960</f>
        <v>28470.510000000002</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30338.710000000003</v>
      </c>
      <c r="G111" s="41">
        <f>SUM(G96:G110)</f>
        <v>13459.72</v>
      </c>
      <c r="H111" s="41">
        <f>SUM(H96:H110)</f>
        <v>0</v>
      </c>
      <c r="I111" s="41">
        <f>SUM(I96:I110)</f>
        <v>0</v>
      </c>
      <c r="J111" s="41">
        <f>SUM(J96:J110)</f>
        <v>48.3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2030502.71</v>
      </c>
      <c r="G112" s="41">
        <f>G60+G111</f>
        <v>13459.72</v>
      </c>
      <c r="H112" s="41">
        <f>H60+H79+H94+H111</f>
        <v>0</v>
      </c>
      <c r="I112" s="41">
        <f>I60+I111</f>
        <v>0</v>
      </c>
      <c r="J112" s="41">
        <f>J60+J111</f>
        <v>48.3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851291.48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249549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1100840.48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239161.8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6771.16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135631.82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755.77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381564.78</v>
      </c>
      <c r="G136" s="41">
        <f>SUM(G123:G135)</f>
        <v>755.77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1482405.26</v>
      </c>
      <c r="G140" s="41">
        <f>G121+SUM(G136:G137)</f>
        <v>755.77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29459.14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6941.98+3078.52+690+1500+1843.76+29459.14-H154</f>
        <v>14054.260000000002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9930.65+4634.05+15258.62</f>
        <v>29823.32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13067.73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13067.73</v>
      </c>
      <c r="G162" s="41">
        <f>SUM(G150:G161)</f>
        <v>29823.32</v>
      </c>
      <c r="H162" s="41">
        <f>SUM(H150:H161)</f>
        <v>43513.4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13067.73</v>
      </c>
      <c r="G169" s="41">
        <f>G147+G162+SUM(G163:G168)</f>
        <v>29823.32</v>
      </c>
      <c r="H169" s="41">
        <f>H147+H162+SUM(H163:H168)</f>
        <v>43513.4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18000</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18000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18000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3525975.6999999997</v>
      </c>
      <c r="G193" s="47">
        <f>G112+G140+G169+G192</f>
        <v>62038.81</v>
      </c>
      <c r="H193" s="47">
        <f>H112+H140+H169+H192</f>
        <v>43513.4</v>
      </c>
      <c r="I193" s="47">
        <f>I112+I140+I169+I192</f>
        <v>0</v>
      </c>
      <c r="J193" s="47">
        <f>J112+J140+J192</f>
        <v>48.3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396669.39</v>
      </c>
      <c r="G197" s="18">
        <v>204329.16</v>
      </c>
      <c r="H197" s="18">
        <v>8855.9300000000512</v>
      </c>
      <c r="I197" s="18">
        <v>31016.66</v>
      </c>
      <c r="J197" s="18">
        <v>2490</v>
      </c>
      <c r="K197" s="18">
        <v>0</v>
      </c>
      <c r="L197" s="19">
        <f>SUM(F197:K197)</f>
        <v>643361.14000000013</v>
      </c>
      <c r="M197" s="8"/>
      <c r="N197" s="266"/>
    </row>
    <row r="198" spans="1:14" s="3" customFormat="1" ht="12.2" customHeight="1" x14ac:dyDescent="0.15">
      <c r="A198" s="1" t="s">
        <v>439</v>
      </c>
      <c r="B198" s="2" t="s">
        <v>341</v>
      </c>
      <c r="C198" s="2" t="s">
        <v>291</v>
      </c>
      <c r="D198" s="2" t="s">
        <v>431</v>
      </c>
      <c r="E198" s="6">
        <v>1200</v>
      </c>
      <c r="F198" s="18">
        <v>108912.01</v>
      </c>
      <c r="G198" s="18">
        <v>52014.8</v>
      </c>
      <c r="H198" s="18">
        <v>177567.65</v>
      </c>
      <c r="I198" s="18">
        <v>0</v>
      </c>
      <c r="J198" s="18">
        <v>428.18</v>
      </c>
      <c r="K198" s="18">
        <v>0</v>
      </c>
      <c r="L198" s="19">
        <f>SUM(F198:K198)</f>
        <v>338922.63999999996</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2150</v>
      </c>
      <c r="G200" s="18">
        <v>369.7</v>
      </c>
      <c r="H200" s="18">
        <v>675.5</v>
      </c>
      <c r="I200" s="18">
        <v>1906.28</v>
      </c>
      <c r="J200" s="18">
        <v>0</v>
      </c>
      <c r="K200" s="18">
        <v>0</v>
      </c>
      <c r="L200" s="19">
        <f>SUM(F200:K200)</f>
        <v>5101.4799999999996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16527.849999999999</v>
      </c>
      <c r="G202" s="18">
        <v>1366.1399999999999</v>
      </c>
      <c r="H202" s="18">
        <v>0</v>
      </c>
      <c r="I202" s="18">
        <v>15.54</v>
      </c>
      <c r="J202" s="18">
        <v>0</v>
      </c>
      <c r="K202" s="18">
        <v>0</v>
      </c>
      <c r="L202" s="19">
        <f t="shared" ref="L202:L208" si="0">SUM(F202:K202)</f>
        <v>17909.53</v>
      </c>
      <c r="M202" s="8"/>
      <c r="N202" s="266"/>
    </row>
    <row r="203" spans="1:14" s="3" customFormat="1" ht="12.2" customHeight="1" x14ac:dyDescent="0.15">
      <c r="A203" s="1" t="s">
        <v>443</v>
      </c>
      <c r="B203" s="2" t="s">
        <v>341</v>
      </c>
      <c r="C203" s="2" t="s">
        <v>295</v>
      </c>
      <c r="D203" s="2" t="s">
        <v>431</v>
      </c>
      <c r="E203" s="6">
        <v>2200</v>
      </c>
      <c r="F203" s="18">
        <v>30654.92</v>
      </c>
      <c r="G203" s="18">
        <v>12399.01</v>
      </c>
      <c r="H203" s="18">
        <v>62891.91</v>
      </c>
      <c r="I203" s="18">
        <v>2784.47</v>
      </c>
      <c r="J203" s="18">
        <v>76470.37</v>
      </c>
      <c r="K203" s="18">
        <v>0</v>
      </c>
      <c r="L203" s="19">
        <f t="shared" si="0"/>
        <v>185200.68</v>
      </c>
      <c r="M203" s="8"/>
      <c r="N203" s="266"/>
    </row>
    <row r="204" spans="1:14" s="3" customFormat="1" ht="12.2" customHeight="1" x14ac:dyDescent="0.15">
      <c r="A204" s="1" t="s">
        <v>444</v>
      </c>
      <c r="B204" s="2" t="s">
        <v>341</v>
      </c>
      <c r="C204" s="2" t="s">
        <v>296</v>
      </c>
      <c r="D204" s="2" t="s">
        <v>431</v>
      </c>
      <c r="E204" s="6">
        <v>2300</v>
      </c>
      <c r="F204" s="18">
        <v>5359.3</v>
      </c>
      <c r="G204" s="18">
        <v>191.25</v>
      </c>
      <c r="H204" s="18">
        <v>239621.05</v>
      </c>
      <c r="I204" s="18">
        <v>92.79</v>
      </c>
      <c r="J204" s="18">
        <v>0</v>
      </c>
      <c r="K204" s="18">
        <v>3849.08</v>
      </c>
      <c r="L204" s="19">
        <f t="shared" si="0"/>
        <v>249113.46999999997</v>
      </c>
      <c r="M204" s="8"/>
      <c r="N204" s="266"/>
    </row>
    <row r="205" spans="1:14" s="3" customFormat="1" ht="12.2" customHeight="1" x14ac:dyDescent="0.15">
      <c r="A205" s="1" t="s">
        <v>445</v>
      </c>
      <c r="B205" s="2" t="s">
        <v>341</v>
      </c>
      <c r="C205" s="2" t="s">
        <v>297</v>
      </c>
      <c r="D205" s="2" t="s">
        <v>431</v>
      </c>
      <c r="E205" s="6">
        <v>2400</v>
      </c>
      <c r="F205" s="18">
        <v>105656.69</v>
      </c>
      <c r="G205" s="18">
        <v>56992.29</v>
      </c>
      <c r="H205" s="18">
        <v>1682.27</v>
      </c>
      <c r="I205" s="18">
        <v>2053.69</v>
      </c>
      <c r="J205" s="18">
        <v>1718.04</v>
      </c>
      <c r="K205" s="18">
        <v>29596.21</v>
      </c>
      <c r="L205" s="19">
        <f t="shared" si="0"/>
        <v>197699.19</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49388.59</v>
      </c>
      <c r="G207" s="18">
        <v>17054.3</v>
      </c>
      <c r="H207" s="18">
        <v>59643.06</v>
      </c>
      <c r="I207" s="18">
        <v>55428.71</v>
      </c>
      <c r="J207" s="18">
        <v>5400</v>
      </c>
      <c r="K207" s="18">
        <v>0</v>
      </c>
      <c r="L207" s="19">
        <f t="shared" si="0"/>
        <v>186914.66</v>
      </c>
      <c r="M207" s="8"/>
      <c r="N207" s="266"/>
    </row>
    <row r="208" spans="1:14" s="3" customFormat="1" ht="12.2" customHeight="1" x14ac:dyDescent="0.15">
      <c r="A208" s="1" t="s">
        <v>448</v>
      </c>
      <c r="B208" s="2" t="s">
        <v>341</v>
      </c>
      <c r="C208" s="2" t="s">
        <v>300</v>
      </c>
      <c r="D208" s="2" t="s">
        <v>431</v>
      </c>
      <c r="E208" s="6">
        <v>2700</v>
      </c>
      <c r="F208" s="18">
        <v>33820.400000000001</v>
      </c>
      <c r="G208" s="18">
        <v>3614.82</v>
      </c>
      <c r="H208" s="18">
        <v>51748.95</v>
      </c>
      <c r="I208" s="18">
        <v>0</v>
      </c>
      <c r="J208" s="18">
        <v>38986.480000000003</v>
      </c>
      <c r="K208" s="18">
        <v>0</v>
      </c>
      <c r="L208" s="19">
        <f t="shared" si="0"/>
        <v>128170.65</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749139.15000000014</v>
      </c>
      <c r="G211" s="41">
        <f t="shared" si="1"/>
        <v>348331.47000000003</v>
      </c>
      <c r="H211" s="41">
        <f t="shared" si="1"/>
        <v>602686.32000000007</v>
      </c>
      <c r="I211" s="41">
        <f t="shared" si="1"/>
        <v>93298.140000000014</v>
      </c>
      <c r="J211" s="41">
        <f t="shared" si="1"/>
        <v>125493.06999999998</v>
      </c>
      <c r="K211" s="41">
        <f t="shared" si="1"/>
        <v>33445.29</v>
      </c>
      <c r="L211" s="41">
        <f t="shared" si="1"/>
        <v>1952393.4399999997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767641.11</v>
      </c>
      <c r="I233" s="18"/>
      <c r="J233" s="18"/>
      <c r="K233" s="18"/>
      <c r="L233" s="19">
        <f>SUM(F233:K233)</f>
        <v>767641.11</v>
      </c>
      <c r="M233" s="8"/>
      <c r="N233" s="266"/>
    </row>
    <row r="234" spans="1:14" s="3" customFormat="1" ht="12.2" customHeight="1" x14ac:dyDescent="0.15">
      <c r="A234" s="1" t="s">
        <v>439</v>
      </c>
      <c r="B234" s="2" t="s">
        <v>350</v>
      </c>
      <c r="C234" s="2" t="s">
        <v>291</v>
      </c>
      <c r="D234" s="2" t="s">
        <v>431</v>
      </c>
      <c r="E234" s="6">
        <v>1200</v>
      </c>
      <c r="F234" s="18"/>
      <c r="G234" s="18"/>
      <c r="H234" s="18">
        <v>143706.34</v>
      </c>
      <c r="I234" s="18"/>
      <c r="J234" s="18"/>
      <c r="K234" s="18"/>
      <c r="L234" s="19">
        <f>SUM(F234:K234)</f>
        <v>143706.34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11700</v>
      </c>
      <c r="I244" s="18"/>
      <c r="J244" s="18"/>
      <c r="K244" s="18"/>
      <c r="L244" s="19">
        <f t="shared" si="4"/>
        <v>11700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923047.45</v>
      </c>
      <c r="I247" s="41">
        <f t="shared" si="5"/>
        <v>0</v>
      </c>
      <c r="J247" s="41">
        <f t="shared" si="5"/>
        <v>0</v>
      </c>
      <c r="K247" s="41">
        <f t="shared" si="5"/>
        <v>0</v>
      </c>
      <c r="L247" s="41">
        <f t="shared" si="5"/>
        <v>923047.45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749139.15000000014</v>
      </c>
      <c r="G257" s="41">
        <f t="shared" si="8"/>
        <v>348331.47000000003</v>
      </c>
      <c r="H257" s="41">
        <f t="shared" si="8"/>
        <v>1525733.77</v>
      </c>
      <c r="I257" s="41">
        <f t="shared" si="8"/>
        <v>93298.140000000014</v>
      </c>
      <c r="J257" s="41">
        <f t="shared" si="8"/>
        <v>125493.06999999998</v>
      </c>
      <c r="K257" s="41">
        <f t="shared" si="8"/>
        <v>33445.29</v>
      </c>
      <c r="L257" s="41">
        <f t="shared" si="8"/>
        <v>2875440.8899999997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369091.82</v>
      </c>
      <c r="L260" s="19">
        <f>SUM(F260:K260)</f>
        <v>369091.82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233619.3</v>
      </c>
      <c r="L261" s="19">
        <f>SUM(F261:K261)</f>
        <v>233619.3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18000</v>
      </c>
      <c r="L263" s="19">
        <f>SUM(F263:K263)</f>
        <v>18000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t="s">
        <v>1611</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620711.12</v>
      </c>
      <c r="L270" s="41">
        <f t="shared" si="9"/>
        <v>620711.12</v>
      </c>
      <c r="N270" s="264"/>
    </row>
    <row r="271" spans="1:14" s="3" customFormat="1" ht="12.2" customHeight="1" thickTop="1" x14ac:dyDescent="0.2">
      <c r="A271" s="43" t="s">
        <v>464</v>
      </c>
      <c r="B271" s="40">
        <v>10</v>
      </c>
      <c r="C271" s="40">
        <v>18</v>
      </c>
      <c r="D271" s="39" t="s">
        <v>431</v>
      </c>
      <c r="E271" s="40"/>
      <c r="F271" s="42">
        <f t="shared" ref="F271:L271" si="11">F257+F270</f>
        <v>749139.15000000014</v>
      </c>
      <c r="G271" s="42">
        <f t="shared" si="11"/>
        <v>348331.47000000003</v>
      </c>
      <c r="H271" s="42">
        <f t="shared" si="11"/>
        <v>1525733.77</v>
      </c>
      <c r="I271" s="42">
        <f t="shared" si="11"/>
        <v>93298.140000000014</v>
      </c>
      <c r="J271" s="42">
        <f t="shared" si="11"/>
        <v>125493.06999999998</v>
      </c>
      <c r="K271" s="42">
        <f t="shared" si="11"/>
        <v>654156.41</v>
      </c>
      <c r="L271" s="42">
        <f t="shared" si="11"/>
        <v>3496152.01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27059.35</v>
      </c>
      <c r="G276" s="18">
        <v>5338.17</v>
      </c>
      <c r="H276" s="18">
        <v>0</v>
      </c>
      <c r="I276" s="18">
        <v>0</v>
      </c>
      <c r="J276" s="18">
        <v>0</v>
      </c>
      <c r="K276" s="18">
        <v>0</v>
      </c>
      <c r="L276" s="19">
        <f>SUM(F276:K276)</f>
        <v>32397.519999999997</v>
      </c>
      <c r="M276" s="8"/>
      <c r="N276" s="266"/>
    </row>
    <row r="277" spans="1:14" s="3" customFormat="1" ht="12.2" customHeight="1" x14ac:dyDescent="0.15">
      <c r="A277" s="1" t="s">
        <v>439</v>
      </c>
      <c r="B277" s="2" t="s">
        <v>357</v>
      </c>
      <c r="C277" s="2" t="s">
        <v>291</v>
      </c>
      <c r="D277" s="2" t="s">
        <v>431</v>
      </c>
      <c r="E277" s="6">
        <v>1200</v>
      </c>
      <c r="F277" s="18">
        <v>19465</v>
      </c>
      <c r="G277" s="18">
        <v>12088.65</v>
      </c>
      <c r="H277" s="18">
        <v>0</v>
      </c>
      <c r="I277" s="18">
        <v>1034.45</v>
      </c>
      <c r="J277" s="18">
        <v>0</v>
      </c>
      <c r="K277" s="18">
        <v>0</v>
      </c>
      <c r="L277" s="19">
        <f>SUM(F277:K277)</f>
        <v>32588.100000000002</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4600</v>
      </c>
      <c r="G282" s="18">
        <v>1024.47</v>
      </c>
      <c r="H282" s="18">
        <v>3520.45</v>
      </c>
      <c r="I282" s="18">
        <v>0</v>
      </c>
      <c r="J282" s="18">
        <v>0</v>
      </c>
      <c r="K282" s="18">
        <v>0</v>
      </c>
      <c r="L282" s="19">
        <f t="shared" si="12"/>
        <v>9144.92</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6495.06</v>
      </c>
      <c r="L285" s="19">
        <f t="shared" si="12"/>
        <v>6495.06</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51124.35</v>
      </c>
      <c r="G290" s="42">
        <f t="shared" si="13"/>
        <v>18451.29</v>
      </c>
      <c r="H290" s="42">
        <f t="shared" si="13"/>
        <v>3520.45</v>
      </c>
      <c r="I290" s="42">
        <f t="shared" si="13"/>
        <v>1034.45</v>
      </c>
      <c r="J290" s="42">
        <f t="shared" si="13"/>
        <v>0</v>
      </c>
      <c r="K290" s="42">
        <f t="shared" si="13"/>
        <v>6495.06</v>
      </c>
      <c r="L290" s="41">
        <f t="shared" si="13"/>
        <v>80625.599999999991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51124.35</v>
      </c>
      <c r="G338" s="41">
        <f t="shared" si="20"/>
        <v>18451.29</v>
      </c>
      <c r="H338" s="41">
        <f t="shared" si="20"/>
        <v>3520.45</v>
      </c>
      <c r="I338" s="41">
        <f t="shared" si="20"/>
        <v>1034.45</v>
      </c>
      <c r="J338" s="41">
        <f t="shared" si="20"/>
        <v>0</v>
      </c>
      <c r="K338" s="41">
        <f t="shared" si="20"/>
        <v>6495.06</v>
      </c>
      <c r="L338" s="41">
        <f t="shared" si="20"/>
        <v>80625.599999999991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51124.35</v>
      </c>
      <c r="G352" s="41">
        <f>G338</f>
        <v>18451.29</v>
      </c>
      <c r="H352" s="41">
        <f>H338</f>
        <v>3520.45</v>
      </c>
      <c r="I352" s="41">
        <f>I338</f>
        <v>1034.45</v>
      </c>
      <c r="J352" s="41">
        <f>J338</f>
        <v>0</v>
      </c>
      <c r="K352" s="47">
        <f>K338+K351</f>
        <v>6495.06</v>
      </c>
      <c r="L352" s="41">
        <f>L338+L351</f>
        <v>80625.599999999991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73400.289999999994</v>
      </c>
      <c r="I358" s="18">
        <f>78.36+420.06</f>
        <v>498.42</v>
      </c>
      <c r="J358" s="18"/>
      <c r="K358" s="18"/>
      <c r="L358" s="13">
        <f>SUM(F358:K358)</f>
        <v>73898.709999999992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73400.289999999994</v>
      </c>
      <c r="I362" s="47">
        <f t="shared" si="22"/>
        <v>498.42</v>
      </c>
      <c r="J362" s="47">
        <f t="shared" si="22"/>
        <v>0</v>
      </c>
      <c r="K362" s="47">
        <f t="shared" si="22"/>
        <v>0</v>
      </c>
      <c r="L362" s="47">
        <f t="shared" si="22"/>
        <v>73898.709999999992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498.42</v>
      </c>
      <c r="G368" s="63"/>
      <c r="H368" s="63"/>
      <c r="I368" s="56">
        <f>SUM(F368:H368)</f>
        <v>498.42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498.42</v>
      </c>
      <c r="G369" s="47">
        <f>SUM(G367:G368)</f>
        <v>0</v>
      </c>
      <c r="H369" s="47">
        <f>SUM(H367:H368)</f>
        <v>0</v>
      </c>
      <c r="I369" s="47">
        <f>SUM(I367:I368)</f>
        <v>498.42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f>1.75+1.49+29.19</f>
        <v>32.43</v>
      </c>
      <c r="I392" s="18"/>
      <c r="J392" s="24" t="s">
        <v>288</v>
      </c>
      <c r="K392" s="24" t="s">
        <v>288</v>
      </c>
      <c r="L392" s="56">
        <f t="shared" si="25"/>
        <v>32.43</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32.43</v>
      </c>
      <c r="I393" s="65">
        <f>SUM(I387:I392)</f>
        <v>0</v>
      </c>
      <c r="J393" s="45" t="s">
        <v>288</v>
      </c>
      <c r="K393" s="45" t="s">
        <v>288</v>
      </c>
      <c r="L393" s="47">
        <f>SUM(L387:L392)</f>
        <v>32.43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5.98+1.79</f>
        <v>7.7700000000000005</v>
      </c>
      <c r="I400" s="18"/>
      <c r="J400" s="24" t="s">
        <v>288</v>
      </c>
      <c r="K400" s="24" t="s">
        <v>288</v>
      </c>
      <c r="L400" s="56">
        <f t="shared" si="26"/>
        <v>7.7700000000000005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7.7700000000000005</v>
      </c>
      <c r="I401" s="47">
        <f>SUM(I395:I400)</f>
        <v>0</v>
      </c>
      <c r="J401" s="45" t="s">
        <v>288</v>
      </c>
      <c r="K401" s="45" t="s">
        <v>288</v>
      </c>
      <c r="L401" s="47">
        <f>SUM(L395:L400)</f>
        <v>7.7700000000000005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v>8.1</v>
      </c>
      <c r="I403" s="18"/>
      <c r="J403" s="24" t="s">
        <v>288</v>
      </c>
      <c r="K403" s="24" t="s">
        <v>288</v>
      </c>
      <c r="L403" s="56">
        <f>SUM(F403:K403)</f>
        <v>8.1</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8.1</v>
      </c>
      <c r="I407" s="47">
        <f>SUM(I403:I406)</f>
        <v>0</v>
      </c>
      <c r="J407" s="49" t="s">
        <v>288</v>
      </c>
      <c r="K407" s="49" t="s">
        <v>288</v>
      </c>
      <c r="L407" s="47">
        <f>SUM(L403:L406)</f>
        <v>8.1</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48.300000000000004</v>
      </c>
      <c r="I408" s="47">
        <f>I393+I401+I407</f>
        <v>0</v>
      </c>
      <c r="J408" s="24" t="s">
        <v>288</v>
      </c>
      <c r="K408" s="24" t="s">
        <v>288</v>
      </c>
      <c r="L408" s="47">
        <f>L393+L401+L407</f>
        <v>48.300000000000004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25356.2+29.1912+1514.07+1.7431+1292.78+1.4883</f>
        <v>28195.472600000001</v>
      </c>
      <c r="G439" s="18">
        <f>34910.09+40.19-F439</f>
        <v>6754.8073999999979</v>
      </c>
      <c r="H439" s="18">
        <f>6951.1+101.78</f>
        <v>7052.88</v>
      </c>
      <c r="I439" s="56">
        <f t="shared" ref="I439:I445" si="33">SUM(F439:H439)</f>
        <v>42003.159999999996</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28195.472600000001</v>
      </c>
      <c r="G446" s="13">
        <f>SUM(G439:G445)</f>
        <v>6754.8073999999979</v>
      </c>
      <c r="H446" s="13">
        <f>SUM(H439:H445)</f>
        <v>7052.88</v>
      </c>
      <c r="I446" s="13">
        <f>SUM(I439:I445)</f>
        <v>42003.159999999996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F439</f>
        <v>28195.472600000001</v>
      </c>
      <c r="G459" s="18">
        <f t="shared" ref="G459:H459" si="35">G439</f>
        <v>6754.8073999999979</v>
      </c>
      <c r="H459" s="18">
        <f t="shared" si="35"/>
        <v>7052.88</v>
      </c>
      <c r="I459" s="56">
        <f t="shared" si="34"/>
        <v>42003.159999999996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28195.472600000001</v>
      </c>
      <c r="G460" s="83">
        <f>SUM(G454:G459)</f>
        <v>6754.8073999999979</v>
      </c>
      <c r="H460" s="83">
        <f>SUM(H454:H459)</f>
        <v>7052.88</v>
      </c>
      <c r="I460" s="83">
        <f>SUM(I454:I459)</f>
        <v>42003.159999999996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28195.472600000001</v>
      </c>
      <c r="G461" s="42">
        <f>G452+G460</f>
        <v>6754.8073999999979</v>
      </c>
      <c r="H461" s="42">
        <f>H452+H460</f>
        <v>7052.88</v>
      </c>
      <c r="I461" s="42">
        <f>I452+I460</f>
        <v>42003.159999999996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88572.09</v>
      </c>
      <c r="G465" s="18">
        <v>-0.04</v>
      </c>
      <c r="H465" s="18">
        <v>19521.18</v>
      </c>
      <c r="I465" s="18">
        <v>12638.86</v>
      </c>
      <c r="J465" s="18">
        <f>6936.28+30050+4860.09+108.5-0.01</f>
        <v>41954.859999999993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3525975.7</v>
      </c>
      <c r="G468" s="18">
        <v>62038.81</v>
      </c>
      <c r="H468" s="18">
        <v>43513.4</v>
      </c>
      <c r="I468" s="18">
        <v>0</v>
      </c>
      <c r="J468" s="18">
        <v>48.3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3525975.7</v>
      </c>
      <c r="G470" s="53">
        <f>SUM(G468:G469)</f>
        <v>62038.81</v>
      </c>
      <c r="H470" s="53">
        <f>SUM(H468:H469)</f>
        <v>43513.4</v>
      </c>
      <c r="I470" s="53">
        <f>SUM(I468:I469)</f>
        <v>0</v>
      </c>
      <c r="J470" s="53">
        <f>SUM(J468:J469)</f>
        <v>48.3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3496152.01</v>
      </c>
      <c r="G472" s="18">
        <v>73898.710000000006</v>
      </c>
      <c r="H472" s="18">
        <v>80625.600000000006</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3496152.01</v>
      </c>
      <c r="G474" s="53">
        <f>SUM(G472:G473)</f>
        <v>73898.710000000006</v>
      </c>
      <c r="H474" s="53">
        <f>SUM(H472:H473)</f>
        <v>80625.600000000006</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118395.78000000026</v>
      </c>
      <c r="G476" s="53">
        <f>(G465+G470)- G474</f>
        <v>-11859.94000000001</v>
      </c>
      <c r="H476" s="53">
        <f>(H465+H470)- H474</f>
        <v>-17591.020000000004</v>
      </c>
      <c r="I476" s="53">
        <f>(I465+I470)- I474</f>
        <v>12638.86</v>
      </c>
      <c r="J476" s="53">
        <f>(J465+J470)- J474</f>
        <v>42003.159999999996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v>20</v>
      </c>
      <c r="I490" s="154">
        <v>20</v>
      </c>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t="s">
        <v>1613</v>
      </c>
      <c r="H491" s="154">
        <f>9/14</f>
        <v>0.6428571428571429</v>
      </c>
      <c r="I491" s="154">
        <f>7/14</f>
        <v>0.5</v>
      </c>
      <c r="J491" s="154"/>
      <c r="K491" s="24" t="s">
        <v>288</v>
      </c>
      <c r="L491" s="24" t="s">
        <v>288</v>
      </c>
      <c r="N491" s="265"/>
    </row>
    <row r="492" spans="1:14" s="52" customFormat="1" ht="12.2" customHeight="1" x14ac:dyDescent="0.2">
      <c r="A492" s="22" t="s">
        <v>616</v>
      </c>
      <c r="B492" s="75">
        <v>20</v>
      </c>
      <c r="C492" s="115">
        <v>3</v>
      </c>
      <c r="D492" s="2" t="s">
        <v>432</v>
      </c>
      <c r="E492" s="115"/>
      <c r="F492" s="155" t="s">
        <v>1614</v>
      </c>
      <c r="G492" s="155" t="s">
        <v>1615</v>
      </c>
      <c r="H492" s="154">
        <f>9/34</f>
        <v>0.26470588235294118</v>
      </c>
      <c r="I492" s="154">
        <f>7/34</f>
        <v>0.20588235294117646</v>
      </c>
      <c r="J492" s="154"/>
      <c r="K492" s="24" t="s">
        <v>288</v>
      </c>
      <c r="L492" s="24" t="s">
        <v>288</v>
      </c>
      <c r="N492" s="265"/>
    </row>
    <row r="493" spans="1:14" s="52" customFormat="1" ht="12.2" customHeight="1" x14ac:dyDescent="0.2">
      <c r="A493" s="22" t="s">
        <v>617</v>
      </c>
      <c r="B493" s="75">
        <v>20</v>
      </c>
      <c r="C493" s="115">
        <v>4</v>
      </c>
      <c r="D493" s="2" t="s">
        <v>432</v>
      </c>
      <c r="E493" s="115"/>
      <c r="F493" s="18">
        <v>4571850</v>
      </c>
      <c r="G493" s="18">
        <v>550000</v>
      </c>
      <c r="H493" s="18">
        <v>738629</v>
      </c>
      <c r="I493" s="18">
        <v>1840000</v>
      </c>
      <c r="J493" s="18"/>
      <c r="K493" s="24" t="s">
        <v>288</v>
      </c>
      <c r="L493" s="24" t="s">
        <v>288</v>
      </c>
      <c r="N493" s="265"/>
    </row>
    <row r="494" spans="1:14" s="52" customFormat="1" ht="12.2" customHeight="1" x14ac:dyDescent="0.2">
      <c r="A494" s="22" t="s">
        <v>618</v>
      </c>
      <c r="B494" s="75">
        <v>20</v>
      </c>
      <c r="C494" s="115">
        <v>5</v>
      </c>
      <c r="D494" s="2" t="s">
        <v>432</v>
      </c>
      <c r="E494" s="115"/>
      <c r="F494" s="18">
        <v>3.2</v>
      </c>
      <c r="G494" s="18">
        <v>3.25</v>
      </c>
      <c r="H494" s="18">
        <v>3.25</v>
      </c>
      <c r="I494" s="18">
        <v>3.2534000000000001</v>
      </c>
      <c r="J494" s="18"/>
      <c r="K494" s="24" t="s">
        <v>288</v>
      </c>
      <c r="L494" s="24" t="s">
        <v>288</v>
      </c>
      <c r="N494" s="265"/>
    </row>
    <row r="495" spans="1:14" s="52" customFormat="1" ht="12.2" customHeight="1" x14ac:dyDescent="0.2">
      <c r="A495" s="22" t="s">
        <v>619</v>
      </c>
      <c r="B495" s="75">
        <v>20</v>
      </c>
      <c r="C495" s="115">
        <v>6</v>
      </c>
      <c r="D495" s="2" t="s">
        <v>432</v>
      </c>
      <c r="E495" s="115"/>
      <c r="F495" s="18">
        <f>3650000-230000</f>
        <v>3420000</v>
      </c>
      <c r="G495" s="18">
        <f>495000-27500-27500</f>
        <v>440000</v>
      </c>
      <c r="H495" s="18">
        <v>389385.08</v>
      </c>
      <c r="I495" s="18">
        <v>1555000</v>
      </c>
      <c r="J495" s="18"/>
      <c r="K495" s="53">
        <f>SUM(F495:J495)</f>
        <v>5804385.0800000001</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230000</v>
      </c>
      <c r="G497" s="18">
        <v>27500</v>
      </c>
      <c r="H497" s="18">
        <v>0</v>
      </c>
      <c r="I497" s="18">
        <v>95000</v>
      </c>
      <c r="J497" s="18"/>
      <c r="K497" s="53">
        <f t="shared" si="36"/>
        <v>352500</v>
      </c>
      <c r="L497" s="24" t="s">
        <v>288</v>
      </c>
      <c r="N497" s="265"/>
    </row>
    <row r="498" spans="1:14" s="52" customFormat="1" ht="12.2" customHeight="1" x14ac:dyDescent="0.2">
      <c r="A498" s="200" t="s">
        <v>622</v>
      </c>
      <c r="B498" s="201">
        <v>20</v>
      </c>
      <c r="C498" s="202">
        <v>9</v>
      </c>
      <c r="D498" s="203" t="s">
        <v>432</v>
      </c>
      <c r="E498" s="202"/>
      <c r="F498" s="204">
        <f>F495-F497</f>
        <v>3190000</v>
      </c>
      <c r="G498" s="204">
        <f>G495-G497</f>
        <v>412500</v>
      </c>
      <c r="H498" s="204">
        <f>H495-H497</f>
        <v>389385.08</v>
      </c>
      <c r="I498" s="204">
        <f>I495-I497</f>
        <v>1460000</v>
      </c>
      <c r="J498" s="204"/>
      <c r="K498" s="205">
        <f t="shared" si="36"/>
        <v>5451885.0800000001</v>
      </c>
      <c r="L498" s="206" t="s">
        <v>288</v>
      </c>
      <c r="N498" s="265"/>
    </row>
    <row r="499" spans="1:14" s="52" customFormat="1" ht="12.2" customHeight="1" thickBot="1" x14ac:dyDescent="0.25">
      <c r="A499" s="22" t="s">
        <v>623</v>
      </c>
      <c r="B499" s="75">
        <v>20</v>
      </c>
      <c r="C499" s="115">
        <v>10</v>
      </c>
      <c r="D499" s="2" t="s">
        <v>432</v>
      </c>
      <c r="E499" s="115"/>
      <c r="F499" s="18">
        <f>1039399-124423-117063</f>
        <v>797913</v>
      </c>
      <c r="G499" s="18">
        <v>64146.94</v>
      </c>
      <c r="H499" s="18">
        <f>220319-15072-13886</f>
        <v>191361</v>
      </c>
      <c r="I499" s="18">
        <v>477960</v>
      </c>
      <c r="J499" s="18"/>
      <c r="K499" s="53">
        <f t="shared" si="36"/>
        <v>1531380.94</v>
      </c>
      <c r="L499" s="24" t="s">
        <v>288</v>
      </c>
      <c r="N499" s="265"/>
    </row>
    <row r="500" spans="1:14" s="52" customFormat="1" ht="12.2" customHeight="1" thickTop="1" x14ac:dyDescent="0.2">
      <c r="A500" s="139" t="s">
        <v>624</v>
      </c>
      <c r="B500" s="44">
        <v>20</v>
      </c>
      <c r="C500" s="195">
        <v>11</v>
      </c>
      <c r="D500" s="39" t="s">
        <v>432</v>
      </c>
      <c r="E500" s="195"/>
      <c r="F500" s="42">
        <f>SUM(F498:F499)</f>
        <v>3987913</v>
      </c>
      <c r="G500" s="42">
        <f>SUM(G498:G499)</f>
        <v>476646.94</v>
      </c>
      <c r="H500" s="42">
        <f>SUM(H498:H499)</f>
        <v>580746.08000000007</v>
      </c>
      <c r="I500" s="42">
        <f>SUM(I498:I499)</f>
        <v>1937960</v>
      </c>
      <c r="J500" s="42">
        <f>SUM(J498:J499)</f>
        <v>0</v>
      </c>
      <c r="K500" s="42">
        <f t="shared" si="36"/>
        <v>6983266.0200000005</v>
      </c>
      <c r="L500" s="45" t="s">
        <v>288</v>
      </c>
      <c r="N500" s="265"/>
    </row>
    <row r="501" spans="1:14" s="52" customFormat="1" ht="12.2" customHeight="1" x14ac:dyDescent="0.2">
      <c r="A501" s="200" t="s">
        <v>651</v>
      </c>
      <c r="B501" s="201">
        <v>20</v>
      </c>
      <c r="C501" s="202">
        <v>12</v>
      </c>
      <c r="D501" s="203" t="s">
        <v>432</v>
      </c>
      <c r="E501" s="202"/>
      <c r="F501" s="204">
        <v>230000</v>
      </c>
      <c r="G501" s="204">
        <v>55000</v>
      </c>
      <c r="H501" s="204">
        <v>36931.449999999997</v>
      </c>
      <c r="I501" s="204">
        <v>95000</v>
      </c>
      <c r="J501" s="204"/>
      <c r="K501" s="205">
        <f t="shared" si="36"/>
        <v>416931.45</v>
      </c>
      <c r="L501" s="206" t="s">
        <v>288</v>
      </c>
      <c r="N501" s="265"/>
    </row>
    <row r="502" spans="1:14" s="52" customFormat="1" ht="12.2" customHeight="1" thickBot="1" x14ac:dyDescent="0.25">
      <c r="A502" s="22" t="s">
        <v>625</v>
      </c>
      <c r="B502" s="75">
        <v>20</v>
      </c>
      <c r="C502" s="115">
        <v>13</v>
      </c>
      <c r="D502" s="2" t="s">
        <v>432</v>
      </c>
      <c r="E502" s="115"/>
      <c r="F502" s="18">
        <f>57496.88+54334.38</f>
        <v>111831.26</v>
      </c>
      <c r="G502" s="18">
        <v>13061.76</v>
      </c>
      <c r="H502" s="18">
        <f>6540.07+5919.77</f>
        <v>12459.84</v>
      </c>
      <c r="I502" s="18">
        <f>31830+29407.5</f>
        <v>61237.5</v>
      </c>
      <c r="J502" s="18"/>
      <c r="K502" s="53">
        <f t="shared" si="36"/>
        <v>198590.36</v>
      </c>
      <c r="L502" s="24" t="s">
        <v>288</v>
      </c>
      <c r="N502" s="265"/>
    </row>
    <row r="503" spans="1:14" s="52" customFormat="1" ht="12.2" customHeight="1" thickTop="1" x14ac:dyDescent="0.2">
      <c r="A503" s="139" t="s">
        <v>626</v>
      </c>
      <c r="B503" s="44">
        <v>20</v>
      </c>
      <c r="C503" s="195">
        <v>14</v>
      </c>
      <c r="D503" s="39" t="s">
        <v>432</v>
      </c>
      <c r="E503" s="195"/>
      <c r="F503" s="42">
        <f>SUM(F501:F502)</f>
        <v>341831.26</v>
      </c>
      <c r="G503" s="42">
        <f>SUM(G501:G502)</f>
        <v>68061.759999999995</v>
      </c>
      <c r="H503" s="42">
        <f>SUM(H501:H502)</f>
        <v>49391.289999999994</v>
      </c>
      <c r="I503" s="42">
        <f>SUM(I501:I502)</f>
        <v>156237.5</v>
      </c>
      <c r="J503" s="42">
        <f>SUM(J501:J502)</f>
        <v>0</v>
      </c>
      <c r="K503" s="42">
        <f t="shared" si="36"/>
        <v>615521.81000000006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F198+F277</f>
        <v>128377.01</v>
      </c>
      <c r="G521" s="18">
        <f t="shared" ref="G521:K521" si="37">G198+G277</f>
        <v>64103.450000000004</v>
      </c>
      <c r="H521" s="18">
        <v>151452.63</v>
      </c>
      <c r="I521" s="18">
        <f t="shared" si="37"/>
        <v>1034.45</v>
      </c>
      <c r="J521" s="18">
        <f t="shared" si="37"/>
        <v>428.18</v>
      </c>
      <c r="K521" s="18">
        <f t="shared" si="37"/>
        <v>0</v>
      </c>
      <c r="L521" s="88">
        <f>SUM(F521:K521)</f>
        <v>345395.72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143706.34</v>
      </c>
      <c r="I523" s="18"/>
      <c r="J523" s="18"/>
      <c r="K523" s="18"/>
      <c r="L523" s="88">
        <f>SUM(F523:K523)</f>
        <v>143706.34</v>
      </c>
      <c r="N523" s="265"/>
    </row>
    <row r="524" spans="1:14" s="52" customFormat="1" ht="12.2" customHeight="1" thickTop="1" x14ac:dyDescent="0.2">
      <c r="A524" s="139" t="s">
        <v>63</v>
      </c>
      <c r="B524" s="107">
        <v>21</v>
      </c>
      <c r="C524" s="195">
        <v>4</v>
      </c>
      <c r="D524" s="196" t="s">
        <v>432</v>
      </c>
      <c r="E524" s="195"/>
      <c r="F524" s="108">
        <f>SUM(F521:F523)</f>
        <v>128377.01</v>
      </c>
      <c r="G524" s="108">
        <f t="shared" ref="G524:L524" si="38">SUM(G521:G523)</f>
        <v>64103.450000000004</v>
      </c>
      <c r="H524" s="108">
        <f t="shared" si="38"/>
        <v>295158.96999999997</v>
      </c>
      <c r="I524" s="108">
        <f t="shared" si="38"/>
        <v>1034.45</v>
      </c>
      <c r="J524" s="108">
        <f t="shared" si="38"/>
        <v>428.18</v>
      </c>
      <c r="K524" s="108">
        <f t="shared" si="38"/>
        <v>0</v>
      </c>
      <c r="L524" s="89">
        <f t="shared" si="38"/>
        <v>489102.05999999994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26115.02</v>
      </c>
      <c r="I526" s="18"/>
      <c r="J526" s="18"/>
      <c r="K526" s="18"/>
      <c r="L526" s="88">
        <f>SUM(F526:K526)</f>
        <v>26115.02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9">SUM(G526:G528)</f>
        <v>0</v>
      </c>
      <c r="H529" s="89">
        <f t="shared" si="39"/>
        <v>26115.02</v>
      </c>
      <c r="I529" s="89">
        <f t="shared" si="39"/>
        <v>0</v>
      </c>
      <c r="J529" s="89">
        <f t="shared" si="39"/>
        <v>0</v>
      </c>
      <c r="K529" s="89">
        <f t="shared" si="39"/>
        <v>0</v>
      </c>
      <c r="L529" s="89">
        <f t="shared" si="39"/>
        <v>26115.02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12116.741248</v>
      </c>
      <c r="G531" s="18">
        <v>6619.3597840000002</v>
      </c>
      <c r="H531" s="18">
        <v>134.69524799999999</v>
      </c>
      <c r="I531" s="18">
        <v>68.664960000000008</v>
      </c>
      <c r="J531" s="18">
        <v>83.997200000000007</v>
      </c>
      <c r="K531" s="18">
        <v>0</v>
      </c>
      <c r="L531" s="88">
        <f>SUM(F531:K531)</f>
        <v>19023.458439999999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12116.741248</v>
      </c>
      <c r="G534" s="89">
        <f t="shared" ref="G534:L534" si="40">SUM(G531:G533)</f>
        <v>6619.3597840000002</v>
      </c>
      <c r="H534" s="89">
        <f t="shared" si="40"/>
        <v>134.69524799999999</v>
      </c>
      <c r="I534" s="89">
        <f t="shared" si="40"/>
        <v>68.664960000000008</v>
      </c>
      <c r="J534" s="89">
        <f t="shared" si="40"/>
        <v>83.997200000000007</v>
      </c>
      <c r="K534" s="89">
        <f t="shared" si="40"/>
        <v>0</v>
      </c>
      <c r="L534" s="89">
        <f t="shared" si="40"/>
        <v>19023.458439999999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1">SUM(G536:G538)</f>
        <v>0</v>
      </c>
      <c r="H539" s="89">
        <f t="shared" si="41"/>
        <v>0</v>
      </c>
      <c r="I539" s="89">
        <f t="shared" si="41"/>
        <v>0</v>
      </c>
      <c r="J539" s="89">
        <f t="shared" si="41"/>
        <v>0</v>
      </c>
      <c r="K539" s="89">
        <f t="shared" si="41"/>
        <v>0</v>
      </c>
      <c r="L539" s="89">
        <f t="shared" si="41"/>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8800</v>
      </c>
      <c r="I541" s="18"/>
      <c r="J541" s="18"/>
      <c r="K541" s="18"/>
      <c r="L541" s="88">
        <f>SUM(F541:K541)</f>
        <v>8800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11700</v>
      </c>
      <c r="I543" s="18"/>
      <c r="J543" s="18"/>
      <c r="K543" s="18"/>
      <c r="L543" s="88">
        <f>SUM(F543:K543)</f>
        <v>11700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2">SUM(G541:G543)</f>
        <v>0</v>
      </c>
      <c r="H544" s="193">
        <f t="shared" si="42"/>
        <v>20500</v>
      </c>
      <c r="I544" s="193">
        <f t="shared" si="42"/>
        <v>0</v>
      </c>
      <c r="J544" s="193">
        <f t="shared" si="42"/>
        <v>0</v>
      </c>
      <c r="K544" s="193">
        <f t="shared" si="42"/>
        <v>0</v>
      </c>
      <c r="L544" s="193">
        <f t="shared" si="42"/>
        <v>20500</v>
      </c>
      <c r="M544" s="8"/>
      <c r="N544" s="266"/>
    </row>
    <row r="545" spans="1:14" s="3" customFormat="1" ht="12.2" customHeight="1" thickTop="1" x14ac:dyDescent="0.15">
      <c r="A545" s="98" t="s">
        <v>72</v>
      </c>
      <c r="B545" s="107">
        <v>21</v>
      </c>
      <c r="C545" s="107">
        <v>21</v>
      </c>
      <c r="D545" s="158" t="s">
        <v>432</v>
      </c>
      <c r="E545" s="107"/>
      <c r="F545" s="89">
        <f>F524+F529+F534+F539+F544</f>
        <v>140493.75124799999</v>
      </c>
      <c r="G545" s="89">
        <f t="shared" ref="G545:L545" si="43">G524+G529+G534+G539+G544</f>
        <v>70722.809784000012</v>
      </c>
      <c r="H545" s="89">
        <f t="shared" si="43"/>
        <v>341908.68524799997</v>
      </c>
      <c r="I545" s="89">
        <f t="shared" si="43"/>
        <v>1103.1149600000001</v>
      </c>
      <c r="J545" s="89">
        <f t="shared" si="43"/>
        <v>512.17719999999997</v>
      </c>
      <c r="K545" s="89">
        <f t="shared" si="43"/>
        <v>0</v>
      </c>
      <c r="L545" s="89">
        <f t="shared" si="43"/>
        <v>554740.53843999992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345395.72</v>
      </c>
      <c r="G549" s="87">
        <f>L526</f>
        <v>26115.02</v>
      </c>
      <c r="H549" s="87">
        <f>L531</f>
        <v>19023.458439999999</v>
      </c>
      <c r="I549" s="87">
        <f>L536</f>
        <v>0</v>
      </c>
      <c r="J549" s="87">
        <f>L541</f>
        <v>8800</v>
      </c>
      <c r="K549" s="87">
        <f>SUM(F549:J549)</f>
        <v>399334.19844000001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143706.34</v>
      </c>
      <c r="G551" s="87">
        <f>L528</f>
        <v>0</v>
      </c>
      <c r="H551" s="87">
        <f>L533</f>
        <v>0</v>
      </c>
      <c r="I551" s="87">
        <f>L538</f>
        <v>0</v>
      </c>
      <c r="J551" s="87">
        <f>L543</f>
        <v>11700</v>
      </c>
      <c r="K551" s="87">
        <f>SUM(F551:J551)</f>
        <v>155406.34</v>
      </c>
      <c r="L551" s="24" t="s">
        <v>288</v>
      </c>
      <c r="M551" s="8"/>
      <c r="N551" s="266"/>
    </row>
    <row r="552" spans="1:14" s="3" customFormat="1" ht="12.2" customHeight="1" thickTop="1" x14ac:dyDescent="0.15">
      <c r="A552" s="172" t="s">
        <v>340</v>
      </c>
      <c r="B552" s="44">
        <v>21</v>
      </c>
      <c r="C552" s="44">
        <v>25</v>
      </c>
      <c r="D552" s="39" t="s">
        <v>432</v>
      </c>
      <c r="E552" s="44"/>
      <c r="F552" s="89">
        <f t="shared" ref="F552:K552" si="44">SUM(F549:F551)</f>
        <v>489102.05999999994</v>
      </c>
      <c r="G552" s="89">
        <f t="shared" si="44"/>
        <v>26115.02</v>
      </c>
      <c r="H552" s="89">
        <f t="shared" si="44"/>
        <v>19023.458439999999</v>
      </c>
      <c r="I552" s="89">
        <f t="shared" si="44"/>
        <v>0</v>
      </c>
      <c r="J552" s="89">
        <f t="shared" si="44"/>
        <v>20500</v>
      </c>
      <c r="K552" s="89">
        <f t="shared" si="44"/>
        <v>554740.53844000003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5">SUM(F557:F559)</f>
        <v>0</v>
      </c>
      <c r="G560" s="108">
        <f t="shared" si="45"/>
        <v>0</v>
      </c>
      <c r="H560" s="108">
        <f t="shared" si="45"/>
        <v>0</v>
      </c>
      <c r="I560" s="108">
        <f t="shared" si="45"/>
        <v>0</v>
      </c>
      <c r="J560" s="108">
        <f t="shared" si="45"/>
        <v>0</v>
      </c>
      <c r="K560" s="108">
        <f t="shared" si="45"/>
        <v>0</v>
      </c>
      <c r="L560" s="89">
        <f t="shared" si="45"/>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6">SUM(F562:F564)</f>
        <v>0</v>
      </c>
      <c r="G565" s="89">
        <f t="shared" si="46"/>
        <v>0</v>
      </c>
      <c r="H565" s="89">
        <f t="shared" si="46"/>
        <v>0</v>
      </c>
      <c r="I565" s="89">
        <f t="shared" si="46"/>
        <v>0</v>
      </c>
      <c r="J565" s="89">
        <f t="shared" si="46"/>
        <v>0</v>
      </c>
      <c r="K565" s="89">
        <f t="shared" si="46"/>
        <v>0</v>
      </c>
      <c r="L565" s="89">
        <f t="shared" si="46"/>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7">SUM(G567:G569)</f>
        <v>0</v>
      </c>
      <c r="H570" s="193">
        <f t="shared" si="47"/>
        <v>0</v>
      </c>
      <c r="I570" s="193">
        <f t="shared" si="47"/>
        <v>0</v>
      </c>
      <c r="J570" s="193">
        <f t="shared" si="47"/>
        <v>0</v>
      </c>
      <c r="K570" s="193">
        <f t="shared" si="47"/>
        <v>0</v>
      </c>
      <c r="L570" s="193">
        <f t="shared" si="47"/>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8">G560+G565+G570</f>
        <v>0</v>
      </c>
      <c r="H571" s="89">
        <f t="shared" si="48"/>
        <v>0</v>
      </c>
      <c r="I571" s="89">
        <f t="shared" si="48"/>
        <v>0</v>
      </c>
      <c r="J571" s="89">
        <f t="shared" si="48"/>
        <v>0</v>
      </c>
      <c r="K571" s="89">
        <f t="shared" si="48"/>
        <v>0</v>
      </c>
      <c r="L571" s="89">
        <f t="shared" si="48"/>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767641.11</v>
      </c>
      <c r="I575" s="87">
        <f>SUM(F575:H575)</f>
        <v>767641.11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9">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9"/>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9"/>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107805.17</v>
      </c>
      <c r="G579" s="18"/>
      <c r="H579" s="18">
        <v>143706.34</v>
      </c>
      <c r="I579" s="87">
        <f t="shared" si="49"/>
        <v>251511.51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26341.19</v>
      </c>
      <c r="G580" s="18"/>
      <c r="H580" s="18"/>
      <c r="I580" s="87">
        <f t="shared" si="49"/>
        <v>26341.19</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9"/>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9"/>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9"/>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9"/>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9"/>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9"/>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9"/>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139870.65-H592-J592</f>
        <v>119370.65</v>
      </c>
      <c r="I591" s="18"/>
      <c r="J591" s="18"/>
      <c r="K591" s="104">
        <f t="shared" ref="K591:K597" si="50">SUM(H591:J591)</f>
        <v>119370.65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8800</v>
      </c>
      <c r="I592" s="18"/>
      <c r="J592" s="18">
        <v>11700</v>
      </c>
      <c r="K592" s="104">
        <f t="shared" si="50"/>
        <v>20500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50"/>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50"/>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50"/>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50"/>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50"/>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128170.65</v>
      </c>
      <c r="I598" s="108">
        <f>SUM(I591:I597)</f>
        <v>0</v>
      </c>
      <c r="J598" s="108">
        <f>SUM(J591:J597)</f>
        <v>11700</v>
      </c>
      <c r="K598" s="108">
        <f>SUM(K591:K597)</f>
        <v>139870.65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125493.07</v>
      </c>
      <c r="I604" s="18"/>
      <c r="J604" s="18"/>
      <c r="K604" s="104">
        <f>SUM(H604:J604)</f>
        <v>125493.07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125493.07</v>
      </c>
      <c r="I605" s="108">
        <f>SUM(I602:I604)</f>
        <v>0</v>
      </c>
      <c r="J605" s="108">
        <f>SUM(J602:J604)</f>
        <v>0</v>
      </c>
      <c r="K605" s="108">
        <f>SUM(K602:K604)</f>
        <v>125493.07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3308</v>
      </c>
      <c r="G611" s="18">
        <f>46.66+199.55+493.81+5.92+13.56</f>
        <v>759.49999999999989</v>
      </c>
      <c r="H611" s="18"/>
      <c r="I611" s="18"/>
      <c r="J611" s="18"/>
      <c r="K611" s="18"/>
      <c r="L611" s="88">
        <f>SUM(F611:K611)</f>
        <v>4067.5</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1">SUM(F611:F613)</f>
        <v>3308</v>
      </c>
      <c r="G614" s="108">
        <f t="shared" si="51"/>
        <v>759.49999999999989</v>
      </c>
      <c r="H614" s="108">
        <f t="shared" si="51"/>
        <v>0</v>
      </c>
      <c r="I614" s="108">
        <f t="shared" si="51"/>
        <v>0</v>
      </c>
      <c r="J614" s="108">
        <f t="shared" si="51"/>
        <v>0</v>
      </c>
      <c r="K614" s="108">
        <f t="shared" si="51"/>
        <v>0</v>
      </c>
      <c r="L614" s="89">
        <f t="shared" si="51"/>
        <v>4067.5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222236.15</v>
      </c>
      <c r="H617" s="109">
        <f>SUM(F52)</f>
        <v>222236.15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-11859.94</v>
      </c>
      <c r="H618" s="109">
        <f>SUM(G52)</f>
        <v>-11859.94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34662.870000000003</v>
      </c>
      <c r="H619" s="109">
        <f>SUM(H52)</f>
        <v>34662.869999999995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53458.37</v>
      </c>
      <c r="H620" s="109">
        <f>SUM(I52)</f>
        <v>53458.369999999988</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42003.159999999996</v>
      </c>
      <c r="H621" s="109">
        <f>SUM(J52)</f>
        <v>42003.159999999996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118395.78</v>
      </c>
      <c r="H622" s="109">
        <f>F476</f>
        <v>118395.78000000026</v>
      </c>
      <c r="I622" s="121" t="s">
        <v>101</v>
      </c>
      <c r="J622" s="109">
        <f t="shared" ref="J622:J655" si="52">G622-H622</f>
        <v>-2.6193447411060333E-10</v>
      </c>
      <c r="K622" s="109"/>
      <c r="L622" s="109"/>
      <c r="M622" s="8"/>
    </row>
    <row r="623" spans="1:14" s="3" customFormat="1" ht="12.2" customHeight="1" x14ac:dyDescent="0.15">
      <c r="A623" s="97"/>
      <c r="B623" s="105"/>
      <c r="C623" s="119"/>
      <c r="D623" s="119"/>
      <c r="E623" s="119"/>
      <c r="F623" s="119" t="s">
        <v>866</v>
      </c>
      <c r="G623" s="109">
        <f>G51</f>
        <v>-11859.94</v>
      </c>
      <c r="H623" s="109">
        <f>G476</f>
        <v>-11859.94000000001</v>
      </c>
      <c r="I623" s="121" t="s">
        <v>102</v>
      </c>
      <c r="J623" s="109">
        <f t="shared" si="52"/>
        <v>0</v>
      </c>
      <c r="K623" s="109"/>
      <c r="L623" s="109"/>
      <c r="M623" s="8"/>
    </row>
    <row r="624" spans="1:14" s="3" customFormat="1" ht="12.2" customHeight="1" x14ac:dyDescent="0.15">
      <c r="A624" s="97"/>
      <c r="B624" s="105"/>
      <c r="C624" s="105"/>
      <c r="D624" s="105"/>
      <c r="E624" s="105"/>
      <c r="F624" s="120" t="s">
        <v>867</v>
      </c>
      <c r="G624" s="109">
        <f>H51</f>
        <v>-17591.02</v>
      </c>
      <c r="H624" s="109">
        <f>H476</f>
        <v>-17591.020000000004</v>
      </c>
      <c r="I624" s="121" t="s">
        <v>103</v>
      </c>
      <c r="J624" s="109">
        <f t="shared" si="52"/>
        <v>0</v>
      </c>
      <c r="K624" s="109"/>
      <c r="L624" s="109"/>
      <c r="M624" s="8"/>
    </row>
    <row r="625" spans="1:13" s="3" customFormat="1" ht="12.2" customHeight="1" x14ac:dyDescent="0.15">
      <c r="A625" s="97"/>
      <c r="B625" s="105"/>
      <c r="C625" s="105"/>
      <c r="D625" s="105"/>
      <c r="E625" s="105"/>
      <c r="F625" s="120" t="s">
        <v>868</v>
      </c>
      <c r="G625" s="109">
        <f>I51</f>
        <v>12638.859999999986</v>
      </c>
      <c r="H625" s="109">
        <f>I476</f>
        <v>12638.86</v>
      </c>
      <c r="I625" s="121" t="s">
        <v>104</v>
      </c>
      <c r="J625" s="109">
        <f t="shared" si="52"/>
        <v>-1.4551915228366852E-11</v>
      </c>
      <c r="K625" s="109"/>
      <c r="L625" s="109"/>
      <c r="M625" s="8"/>
    </row>
    <row r="626" spans="1:13" s="3" customFormat="1" ht="12.2" customHeight="1" x14ac:dyDescent="0.15">
      <c r="A626" s="22"/>
      <c r="B626" s="105"/>
      <c r="C626" s="105"/>
      <c r="D626" s="105"/>
      <c r="E626" s="105"/>
      <c r="F626" s="120" t="s">
        <v>869</v>
      </c>
      <c r="G626" s="109">
        <f>J51</f>
        <v>42003.159999999996</v>
      </c>
      <c r="H626" s="109">
        <f>J476</f>
        <v>42003.159999999996</v>
      </c>
      <c r="I626" s="140" t="s">
        <v>105</v>
      </c>
      <c r="J626" s="109">
        <f t="shared" si="52"/>
        <v>0</v>
      </c>
      <c r="K626" s="85"/>
      <c r="L626" s="88"/>
      <c r="M626" s="8"/>
    </row>
    <row r="627" spans="1:13" s="3" customFormat="1" ht="12.2" customHeight="1" x14ac:dyDescent="0.15">
      <c r="A627" s="22"/>
      <c r="B627" s="105"/>
      <c r="C627" s="105"/>
      <c r="D627" s="105"/>
      <c r="E627" s="105"/>
      <c r="F627" s="120" t="s">
        <v>658</v>
      </c>
      <c r="G627" s="109">
        <f>F193</f>
        <v>3525975.6999999997</v>
      </c>
      <c r="H627" s="104">
        <f>SUM(F468)</f>
        <v>3525975.7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62038.81</v>
      </c>
      <c r="H628" s="104">
        <f>SUM(G468)</f>
        <v>62038.81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43513.4</v>
      </c>
      <c r="H629" s="104">
        <f>SUM(H468)</f>
        <v>43513.4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48.3</v>
      </c>
      <c r="H631" s="104">
        <f>SUM(J468)</f>
        <v>48.3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3496152.01</v>
      </c>
      <c r="H632" s="104">
        <f>SUM(F472)</f>
        <v>3496152.01</v>
      </c>
      <c r="I632" s="140" t="s">
        <v>111</v>
      </c>
      <c r="J632" s="109">
        <f t="shared" si="52"/>
        <v>0</v>
      </c>
      <c r="K632" s="85"/>
      <c r="L632" s="88"/>
      <c r="M632" s="8"/>
    </row>
    <row r="633" spans="1:13" s="3" customFormat="1" ht="12.2" customHeight="1" x14ac:dyDescent="0.15">
      <c r="A633" s="22"/>
      <c r="B633" s="105"/>
      <c r="C633" s="105"/>
      <c r="D633" s="105"/>
      <c r="E633" s="105"/>
      <c r="F633" s="120" t="s">
        <v>395</v>
      </c>
      <c r="G633" s="109">
        <f>SUM(L352)</f>
        <v>80625.599999999991</v>
      </c>
      <c r="H633" s="104">
        <f>SUM(H472)</f>
        <v>80625.600000000006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498.42</v>
      </c>
      <c r="H634" s="104">
        <f>I369</f>
        <v>498.42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73898.709999999992</v>
      </c>
      <c r="H635" s="104">
        <f>SUM(G472)</f>
        <v>73898.710000000006</v>
      </c>
      <c r="I635" s="140" t="s">
        <v>114</v>
      </c>
      <c r="J635" s="109">
        <f t="shared" si="52"/>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2"/>
        <v>0</v>
      </c>
      <c r="K636" s="85"/>
      <c r="L636" s="88"/>
      <c r="M636" s="168"/>
    </row>
    <row r="637" spans="1:13" s="3" customFormat="1" ht="12.2" customHeight="1" x14ac:dyDescent="0.15">
      <c r="A637" s="161"/>
      <c r="B637" s="162"/>
      <c r="C637" s="162"/>
      <c r="D637" s="162"/>
      <c r="E637" s="162"/>
      <c r="F637" s="163" t="s">
        <v>477</v>
      </c>
      <c r="G637" s="151">
        <f>SUM(L408)</f>
        <v>48.300000000000004</v>
      </c>
      <c r="H637" s="164">
        <f>SUM(J468)</f>
        <v>48.3</v>
      </c>
      <c r="I637" s="165" t="s">
        <v>110</v>
      </c>
      <c r="J637" s="151">
        <f t="shared" si="52"/>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2"/>
        <v>0</v>
      </c>
      <c r="K638" s="166"/>
      <c r="L638" s="167"/>
      <c r="M638" s="8"/>
    </row>
    <row r="639" spans="1:13" s="3" customFormat="1" ht="12.2" customHeight="1" x14ac:dyDescent="0.15">
      <c r="A639" s="22"/>
      <c r="B639" s="105"/>
      <c r="C639" s="105"/>
      <c r="D639" s="105"/>
      <c r="E639" s="105"/>
      <c r="F639" s="120" t="s">
        <v>118</v>
      </c>
      <c r="G639" s="109">
        <f>SUM(F446)</f>
        <v>28195.472600000001</v>
      </c>
      <c r="H639" s="104">
        <f>SUM(F461)</f>
        <v>28195.472600000001</v>
      </c>
      <c r="I639" s="140" t="s">
        <v>841</v>
      </c>
      <c r="J639" s="109">
        <f t="shared" si="52"/>
        <v>0</v>
      </c>
      <c r="K639" s="85"/>
      <c r="L639" s="88"/>
      <c r="M639" s="8"/>
    </row>
    <row r="640" spans="1:13" s="3" customFormat="1" ht="12.2" customHeight="1" x14ac:dyDescent="0.15">
      <c r="A640" s="22"/>
      <c r="B640" s="105"/>
      <c r="C640" s="105"/>
      <c r="D640" s="105"/>
      <c r="E640" s="105"/>
      <c r="F640" s="120" t="s">
        <v>119</v>
      </c>
      <c r="G640" s="109">
        <f>SUM(G446)</f>
        <v>6754.8073999999979</v>
      </c>
      <c r="H640" s="104">
        <f>SUM(G461)</f>
        <v>6754.8073999999979</v>
      </c>
      <c r="I640" s="140" t="s">
        <v>842</v>
      </c>
      <c r="J640" s="109">
        <f t="shared" si="52"/>
        <v>0</v>
      </c>
      <c r="K640" s="85"/>
      <c r="L640" s="88"/>
      <c r="M640" s="8"/>
    </row>
    <row r="641" spans="1:13" s="3" customFormat="1" ht="12.2" customHeight="1" x14ac:dyDescent="0.15">
      <c r="A641" s="22"/>
      <c r="B641" s="105"/>
      <c r="C641" s="105"/>
      <c r="D641" s="105"/>
      <c r="E641" s="105"/>
      <c r="F641" s="120" t="s">
        <v>120</v>
      </c>
      <c r="G641" s="109">
        <f>SUM(H446)</f>
        <v>7052.88</v>
      </c>
      <c r="H641" s="104">
        <f>SUM(H461)</f>
        <v>7052.88</v>
      </c>
      <c r="I641" s="140" t="s">
        <v>843</v>
      </c>
      <c r="J641" s="109">
        <f t="shared" si="52"/>
        <v>0</v>
      </c>
      <c r="K641" s="85"/>
      <c r="L641" s="88"/>
      <c r="M641" s="8"/>
    </row>
    <row r="642" spans="1:13" s="3" customFormat="1" ht="12.2" customHeight="1" x14ac:dyDescent="0.15">
      <c r="A642" s="22"/>
      <c r="B642" s="105"/>
      <c r="C642" s="105"/>
      <c r="D642" s="105"/>
      <c r="E642" s="105"/>
      <c r="F642" s="120" t="s">
        <v>121</v>
      </c>
      <c r="G642" s="109">
        <f>SUM(I446)</f>
        <v>42003.159999999996</v>
      </c>
      <c r="H642" s="104">
        <f>SUM(I461)</f>
        <v>42003.159999999996</v>
      </c>
      <c r="I642" s="140" t="s">
        <v>844</v>
      </c>
      <c r="J642" s="109">
        <f t="shared" si="52"/>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2"/>
        <v>0</v>
      </c>
      <c r="K643" s="85"/>
      <c r="L643" s="88"/>
      <c r="M643" s="8"/>
    </row>
    <row r="644" spans="1:13" s="3" customFormat="1" ht="12.2" customHeight="1" x14ac:dyDescent="0.15">
      <c r="A644" s="22"/>
      <c r="B644" s="105"/>
      <c r="C644" s="105"/>
      <c r="D644" s="105"/>
      <c r="E644" s="105"/>
      <c r="F644" s="120" t="s">
        <v>663</v>
      </c>
      <c r="G644" s="109">
        <f>J96</f>
        <v>48.3</v>
      </c>
      <c r="H644" s="104">
        <f>H408</f>
        <v>48.300000000000004</v>
      </c>
      <c r="I644" s="140" t="s">
        <v>480</v>
      </c>
      <c r="J644" s="109">
        <f t="shared" si="52"/>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2"/>
        <v>0</v>
      </c>
      <c r="K645" s="85"/>
      <c r="L645" s="88"/>
      <c r="M645" s="8"/>
    </row>
    <row r="646" spans="1:13" s="3" customFormat="1" ht="12.2" customHeight="1" x14ac:dyDescent="0.15">
      <c r="A646" s="22"/>
      <c r="B646" s="105"/>
      <c r="C646" s="105"/>
      <c r="D646" s="105"/>
      <c r="E646" s="105"/>
      <c r="F646" s="120" t="s">
        <v>662</v>
      </c>
      <c r="G646" s="109">
        <f>J193</f>
        <v>48.3</v>
      </c>
      <c r="H646" s="104">
        <f>L408</f>
        <v>48.300000000000004</v>
      </c>
      <c r="I646" s="140" t="s">
        <v>477</v>
      </c>
      <c r="J646" s="109">
        <f t="shared" si="52"/>
        <v>0</v>
      </c>
      <c r="K646" s="85"/>
      <c r="L646" s="88"/>
      <c r="M646" s="8"/>
    </row>
    <row r="647" spans="1:13" s="3" customFormat="1" ht="12.2" customHeight="1" x14ac:dyDescent="0.15">
      <c r="A647" s="22"/>
      <c r="B647" s="105"/>
      <c r="C647" s="105"/>
      <c r="D647" s="105"/>
      <c r="E647" s="105"/>
      <c r="F647" s="120" t="s">
        <v>51</v>
      </c>
      <c r="G647" s="109">
        <f>K598</f>
        <v>139870.65</v>
      </c>
      <c r="H647" s="104">
        <f>L208+L226+L244</f>
        <v>139870.65</v>
      </c>
      <c r="I647" s="140" t="s">
        <v>396</v>
      </c>
      <c r="J647" s="109">
        <f t="shared" si="52"/>
        <v>0</v>
      </c>
      <c r="K647" s="85"/>
      <c r="L647" s="88"/>
      <c r="M647" s="8"/>
    </row>
    <row r="648" spans="1:13" s="3" customFormat="1" ht="12.2" customHeight="1" x14ac:dyDescent="0.15">
      <c r="A648" s="22"/>
      <c r="B648" s="105"/>
      <c r="C648" s="105"/>
      <c r="D648" s="105"/>
      <c r="E648" s="105"/>
      <c r="F648" s="120" t="s">
        <v>52</v>
      </c>
      <c r="G648" s="109">
        <f>K605</f>
        <v>125493.07</v>
      </c>
      <c r="H648" s="104">
        <f>(J257+J338)-(J255+J336)</f>
        <v>125493.06999999998</v>
      </c>
      <c r="I648" s="140" t="s">
        <v>699</v>
      </c>
      <c r="J648" s="109">
        <f t="shared" si="52"/>
        <v>0</v>
      </c>
      <c r="K648" s="85"/>
      <c r="L648" s="88"/>
      <c r="M648" s="8"/>
    </row>
    <row r="649" spans="1:13" s="3" customFormat="1" ht="12.2" customHeight="1" x14ac:dyDescent="0.15">
      <c r="A649" s="22"/>
      <c r="B649" s="105"/>
      <c r="C649" s="105"/>
      <c r="D649" s="105"/>
      <c r="E649" s="105"/>
      <c r="F649" s="120" t="s">
        <v>387</v>
      </c>
      <c r="G649" s="109">
        <f>L208</f>
        <v>128170.65</v>
      </c>
      <c r="H649" s="104">
        <f>H598</f>
        <v>128170.65</v>
      </c>
      <c r="I649" s="140" t="s">
        <v>388</v>
      </c>
      <c r="J649" s="109">
        <f t="shared" si="52"/>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2"/>
        <v>0</v>
      </c>
      <c r="K650" s="85"/>
      <c r="L650" s="88"/>
      <c r="M650" s="8"/>
    </row>
    <row r="651" spans="1:13" s="3" customFormat="1" ht="12.2" customHeight="1" x14ac:dyDescent="0.15">
      <c r="A651" s="22"/>
      <c r="B651" s="105"/>
      <c r="C651" s="105"/>
      <c r="D651" s="105"/>
      <c r="E651" s="105"/>
      <c r="F651" s="120" t="s">
        <v>393</v>
      </c>
      <c r="G651" s="109">
        <f>L244</f>
        <v>11700</v>
      </c>
      <c r="H651" s="104">
        <f>J598</f>
        <v>11700</v>
      </c>
      <c r="I651" s="140" t="s">
        <v>390</v>
      </c>
      <c r="J651" s="109">
        <f t="shared" si="52"/>
        <v>0</v>
      </c>
      <c r="K651" s="85"/>
      <c r="L651" s="88"/>
      <c r="M651" s="8"/>
    </row>
    <row r="652" spans="1:13" s="3" customFormat="1" ht="12.2" customHeight="1" x14ac:dyDescent="0.15">
      <c r="A652" s="22"/>
      <c r="B652" s="105"/>
      <c r="C652" s="105"/>
      <c r="D652" s="105"/>
      <c r="E652" s="105"/>
      <c r="F652" s="120" t="s">
        <v>665</v>
      </c>
      <c r="G652" s="109">
        <f>G179</f>
        <v>18000</v>
      </c>
      <c r="H652" s="104">
        <f>K263+K345</f>
        <v>18000</v>
      </c>
      <c r="I652" s="140" t="s">
        <v>397</v>
      </c>
      <c r="J652" s="109">
        <f t="shared" si="52"/>
        <v>0</v>
      </c>
      <c r="K652" s="85"/>
      <c r="L652" s="88"/>
      <c r="M652" s="8"/>
    </row>
    <row r="653" spans="1:13" s="3" customFormat="1" ht="12.2" customHeight="1" x14ac:dyDescent="0.15">
      <c r="A653" s="22"/>
      <c r="B653" s="105"/>
      <c r="C653" s="105"/>
      <c r="D653" s="105"/>
      <c r="E653" s="105"/>
      <c r="F653" s="120" t="s">
        <v>666</v>
      </c>
      <c r="G653" s="109">
        <f>H179</f>
        <v>0</v>
      </c>
      <c r="H653" s="104" t="str">
        <f>K264</f>
        <v>s</v>
      </c>
      <c r="I653" s="140" t="s">
        <v>398</v>
      </c>
      <c r="J653" s="109">
        <f t="shared" si="52"/>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2"/>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2"/>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2106917.75</v>
      </c>
      <c r="G660" s="19">
        <f>(L229+L309+L359)</f>
        <v>0</v>
      </c>
      <c r="H660" s="19">
        <f>(L247+L328+L360)</f>
        <v>923047.45</v>
      </c>
      <c r="I660" s="19">
        <f>SUM(F660:H660)</f>
        <v>3029965.2</v>
      </c>
      <c r="J660" s="13"/>
      <c r="K660" s="13"/>
      <c r="L660" s="13"/>
      <c r="M660" s="9"/>
    </row>
    <row r="661" spans="1:13" s="3" customFormat="1" ht="12.2" customHeight="1" x14ac:dyDescent="0.2">
      <c r="A661" s="1" t="s">
        <v>127</v>
      </c>
      <c r="F661" s="19">
        <f>(L358/IF(SUM(L358:L360)=0,1,SUM(L358:L360))*(SUM(G97:G110)))</f>
        <v>13459.72</v>
      </c>
      <c r="G661" s="19">
        <f>(L359/IF(SUM(L358:L360)=0,1,SUM(L358:L360))*(SUM(G97:G110)))</f>
        <v>0</v>
      </c>
      <c r="H661" s="19">
        <f>(L360/IF(SUM(L358:L360)=0,1,SUM(L358:L360))*(SUM(G97:G110)))</f>
        <v>0</v>
      </c>
      <c r="I661" s="19">
        <f>SUM(F661:H661)</f>
        <v>13459.72</v>
      </c>
      <c r="J661"/>
      <c r="K661" s="13"/>
      <c r="L661" s="13"/>
      <c r="M661" s="9"/>
    </row>
    <row r="662" spans="1:13" s="3" customFormat="1" ht="12.2" customHeight="1" x14ac:dyDescent="0.2">
      <c r="A662" s="1" t="s">
        <v>128</v>
      </c>
      <c r="F662" s="19">
        <f>(L208+L287)-(J208+J287)</f>
        <v>89184.169999999984</v>
      </c>
      <c r="G662" s="19">
        <f>(L226+L306)-(J226+J306)</f>
        <v>0</v>
      </c>
      <c r="H662" s="19">
        <f>(L244+L325)-(J244+J325)</f>
        <v>11700</v>
      </c>
      <c r="I662" s="19">
        <f>SUM(F662:H662)</f>
        <v>100884.16999999998</v>
      </c>
      <c r="J662"/>
      <c r="K662" s="13"/>
      <c r="L662" s="13"/>
      <c r="M662" s="8"/>
    </row>
    <row r="663" spans="1:13" s="3" customFormat="1" ht="12.2" customHeight="1" x14ac:dyDescent="0.15">
      <c r="A663" s="198" t="s">
        <v>129</v>
      </c>
      <c r="B663" s="169"/>
      <c r="C663" s="169"/>
      <c r="D663" s="169"/>
      <c r="E663" s="169"/>
      <c r="F663" s="199">
        <f>SUM(F575:F587)+SUM(H602:H604)+SUM(L611)</f>
        <v>263706.93</v>
      </c>
      <c r="G663" s="199">
        <f>SUM(G575:G587)+SUM(I602:I604)+L612</f>
        <v>0</v>
      </c>
      <c r="H663" s="199">
        <f>SUM(H575:H587)+SUM(J602:J604)+L613</f>
        <v>911347.45</v>
      </c>
      <c r="I663" s="19">
        <f>SUM(F663:H663)</f>
        <v>1175054.3799999999</v>
      </c>
      <c r="J663" s="13"/>
      <c r="K663" s="13"/>
      <c r="L663" s="13"/>
      <c r="M663" s="9"/>
    </row>
    <row r="664" spans="1:13" s="3" customFormat="1" ht="12.2" customHeight="1" x14ac:dyDescent="0.15">
      <c r="A664" s="1" t="s">
        <v>130</v>
      </c>
      <c r="F664" s="19">
        <f>F660-SUM(F661:F663)</f>
        <v>1740566.9300000002</v>
      </c>
      <c r="G664" s="19">
        <f>G660-SUM(G661:G663)</f>
        <v>0</v>
      </c>
      <c r="H664" s="19">
        <f>H660-SUM(H661:H663)</f>
        <v>0</v>
      </c>
      <c r="I664" s="19">
        <f>I660-SUM(I661:I663)</f>
        <v>1740566.9300000004</v>
      </c>
      <c r="J664" s="13"/>
      <c r="K664" s="13"/>
      <c r="L664" s="13"/>
      <c r="M664" s="9"/>
    </row>
    <row r="665" spans="1:13" s="3" customFormat="1" ht="12.2" customHeight="1" x14ac:dyDescent="0.2">
      <c r="A665" s="1" t="s">
        <v>131</v>
      </c>
      <c r="F665" s="246">
        <v>92.5</v>
      </c>
      <c r="G665" s="247"/>
      <c r="H665" s="247"/>
      <c r="I665" s="19">
        <f>SUM(F665:H665)</f>
        <v>92.5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18816.939999999999</v>
      </c>
      <c r="G667" s="19" t="e">
        <f>ROUND(G664/G665,2)</f>
        <v>#DIV/0!</v>
      </c>
      <c r="H667" s="19" t="e">
        <f>ROUND(H664/H665,2)</f>
        <v>#DIV/0!</v>
      </c>
      <c r="I667" s="19">
        <f>ROUND(I664/I665,2)</f>
        <v>18816.939999999999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18816.939999999999</v>
      </c>
      <c r="G672" s="19" t="e">
        <f>ROUND((G664+G669)/(G665+G670),2)</f>
        <v>#DIV/0!</v>
      </c>
      <c r="H672" s="19" t="e">
        <f>ROUND((H664+H669)/(H665+H670),2)</f>
        <v>#DIV/0!</v>
      </c>
      <c r="I672" s="19">
        <f>ROUND((I664+I669)/(I665+I670),2)</f>
        <v>18816.939999999999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R9grGDBWXotkcjOz0OqIJjIcFjOZ0OXRXu01v/pvCCKswppI+GeUtKLkyN83THrUZkaJx0R/oJvpfZyWhUbT2A==" saltValue="ZloJa3gxqA/HYI3H25xpPQ=="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showGridLines="0"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Unity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423728.74</v>
      </c>
      <c r="C9" s="229">
        <f>'DOE25'!G197+'DOE25'!G215+'DOE25'!G233+'DOE25'!G276+'DOE25'!G295+'DOE25'!G314</f>
        <v>209667.33000000002</v>
      </c>
    </row>
    <row r="10" spans="1:3" x14ac:dyDescent="0.2">
      <c r="A10" t="s">
        <v>775</v>
      </c>
      <c r="B10" s="240">
        <v>387724.72</v>
      </c>
      <c r="C10" s="240">
        <v>191852</v>
      </c>
    </row>
    <row r="11" spans="1:3" x14ac:dyDescent="0.2">
      <c r="A11" t="s">
        <v>776</v>
      </c>
      <c r="B11" s="240">
        <v>0</v>
      </c>
      <c r="C11" s="240">
        <v>0</v>
      </c>
    </row>
    <row r="12" spans="1:3" x14ac:dyDescent="0.2">
      <c r="A12" t="s">
        <v>777</v>
      </c>
      <c r="B12" s="240">
        <v>36004.019999999997</v>
      </c>
      <c r="C12" s="240">
        <v>17815.330000000002</v>
      </c>
    </row>
    <row r="13" spans="1:3" x14ac:dyDescent="0.2">
      <c r="A13" t="str">
        <f>IF(B9=B13,IF(C9=C13,"Check Total OK","Check Total Error"),"Check Total Error")</f>
        <v>Check Total OK</v>
      </c>
      <c r="B13" s="231">
        <f>SUM(B10:B12)</f>
        <v>423728.74</v>
      </c>
      <c r="C13" s="231">
        <f>SUM(C10:C12)</f>
        <v>209667.33000000002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128377.01</v>
      </c>
      <c r="C18" s="229">
        <f>'DOE25'!G198+'DOE25'!G216+'DOE25'!G234+'DOE25'!G277+'DOE25'!G296+'DOE25'!G315</f>
        <v>64103.450000000004</v>
      </c>
    </row>
    <row r="19" spans="1:3" x14ac:dyDescent="0.2">
      <c r="A19" t="s">
        <v>775</v>
      </c>
      <c r="B19" s="240">
        <v>36548.31</v>
      </c>
      <c r="C19" s="240">
        <v>18249.939999999999</v>
      </c>
    </row>
    <row r="20" spans="1:3" x14ac:dyDescent="0.2">
      <c r="A20" t="s">
        <v>776</v>
      </c>
      <c r="B20" s="240">
        <v>67633.7</v>
      </c>
      <c r="C20" s="240">
        <v>33772.04</v>
      </c>
    </row>
    <row r="21" spans="1:3" x14ac:dyDescent="0.2">
      <c r="A21" t="s">
        <v>777</v>
      </c>
      <c r="B21" s="240">
        <v>24195</v>
      </c>
      <c r="C21" s="240">
        <v>12081.47</v>
      </c>
    </row>
    <row r="22" spans="1:3" x14ac:dyDescent="0.2">
      <c r="A22" t="str">
        <f>IF(B18=B22,IF(C18=C22,"Check Total OK","Check Total Error"),"Check Total Error")</f>
        <v>Check Total OK</v>
      </c>
      <c r="B22" s="231">
        <f>SUM(B19:B21)</f>
        <v>128377.01</v>
      </c>
      <c r="C22" s="231">
        <f>SUM(C19:C21)</f>
        <v>64103.45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2150</v>
      </c>
      <c r="C36" s="235">
        <f>'DOE25'!G200+'DOE25'!G218+'DOE25'!G236+'DOE25'!G279+'DOE25'!G298+'DOE25'!G317</f>
        <v>369.7</v>
      </c>
    </row>
    <row r="37" spans="1:3" x14ac:dyDescent="0.2">
      <c r="A37" t="s">
        <v>775</v>
      </c>
      <c r="B37" s="240">
        <v>2150</v>
      </c>
      <c r="C37" s="240">
        <v>369.7</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2150</v>
      </c>
      <c r="C40" s="231">
        <f>SUM(C37:C39)</f>
        <v>369.7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5" zoomScaleNormal="125"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Unity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1898732.71</v>
      </c>
      <c r="D5" s="20">
        <f>SUM('DOE25'!L197:L200)+SUM('DOE25'!L215:L218)+SUM('DOE25'!L233:L236)-F5-G5-H5</f>
        <v>1895814.53</v>
      </c>
      <c r="E5" s="243"/>
      <c r="F5" s="244"/>
      <c r="G5" s="53">
        <f>SUM('DOE25'!J197:J200)+SUM('DOE25'!J215:J218)+SUM('DOE25'!J233:J236)</f>
        <v>2918.18</v>
      </c>
      <c r="H5" s="53">
        <f>SUM('DOE25'!K197:K200)+SUM('DOE25'!K215:K218)+SUM('DOE25'!K233:K236)</f>
        <v>0</v>
      </c>
      <c r="I5" s="256"/>
    </row>
    <row r="6" spans="1:9" x14ac:dyDescent="0.2">
      <c r="A6" s="32">
        <v>2100</v>
      </c>
      <c r="B6" t="s">
        <v>796</v>
      </c>
      <c r="C6" s="276">
        <f t="shared" si="0"/>
        <v>17909.53</v>
      </c>
      <c r="D6" s="20">
        <f>'DOE25'!L202+'DOE25'!L220+'DOE25'!L238-F6-G6-H6</f>
        <v>17909.53</v>
      </c>
      <c r="E6" s="243"/>
      <c r="F6" s="244"/>
      <c r="G6" s="53">
        <f>'DOE25'!J202+'DOE25'!J220+'DOE25'!J238</f>
        <v>0</v>
      </c>
      <c r="H6" s="53">
        <f>'DOE25'!K202+'DOE25'!K220+'DOE25'!K238</f>
        <v>0</v>
      </c>
      <c r="I6" s="256"/>
    </row>
    <row r="7" spans="1:9" x14ac:dyDescent="0.2">
      <c r="A7" s="32">
        <v>2200</v>
      </c>
      <c r="B7" t="s">
        <v>821</v>
      </c>
      <c r="C7" s="276">
        <f t="shared" si="0"/>
        <v>185200.68</v>
      </c>
      <c r="D7" s="20">
        <f>'DOE25'!L203+'DOE25'!L221+'DOE25'!L239-F7-G7-H7</f>
        <v>108730.31</v>
      </c>
      <c r="E7" s="243"/>
      <c r="F7" s="244"/>
      <c r="G7" s="53">
        <f>'DOE25'!J203+'DOE25'!J221+'DOE25'!J239</f>
        <v>76470.37</v>
      </c>
      <c r="H7" s="53">
        <f>'DOE25'!K203+'DOE25'!K221+'DOE25'!K239</f>
        <v>0</v>
      </c>
      <c r="I7" s="256"/>
    </row>
    <row r="8" spans="1:9" x14ac:dyDescent="0.2">
      <c r="A8" s="32">
        <v>2300</v>
      </c>
      <c r="B8" t="s">
        <v>797</v>
      </c>
      <c r="C8" s="276">
        <f t="shared" si="0"/>
        <v>131622.99999999997</v>
      </c>
      <c r="D8" s="243"/>
      <c r="E8" s="20">
        <f>'DOE25'!L204+'DOE25'!L222+'DOE25'!L240-F8-G8-H8-D9-D11</f>
        <v>127773.91999999998</v>
      </c>
      <c r="F8" s="244"/>
      <c r="G8" s="53">
        <f>'DOE25'!J204+'DOE25'!J222+'DOE25'!J240</f>
        <v>0</v>
      </c>
      <c r="H8" s="53">
        <f>'DOE25'!K204+'DOE25'!K222+'DOE25'!K240</f>
        <v>3849.08</v>
      </c>
      <c r="I8" s="256"/>
    </row>
    <row r="9" spans="1:9" ht="14.25" x14ac:dyDescent="0.2">
      <c r="A9" s="32">
        <v>2310</v>
      </c>
      <c r="B9" s="185" t="s">
        <v>890</v>
      </c>
      <c r="C9" s="276">
        <f t="shared" si="0"/>
        <v>60426.47</v>
      </c>
      <c r="D9" s="244">
        <v>60426.47</v>
      </c>
      <c r="E9" s="243"/>
      <c r="F9" s="253"/>
      <c r="G9" s="253"/>
      <c r="H9" s="253"/>
      <c r="I9" s="256"/>
    </row>
    <row r="10" spans="1:9" ht="14.25" x14ac:dyDescent="0.2">
      <c r="A10" s="32">
        <v>2317</v>
      </c>
      <c r="B10" s="185" t="s">
        <v>891</v>
      </c>
      <c r="C10" s="276">
        <f t="shared" si="0"/>
        <v>41441</v>
      </c>
      <c r="D10" s="243"/>
      <c r="E10" s="244">
        <v>41441</v>
      </c>
      <c r="F10" s="253"/>
      <c r="G10" s="253"/>
      <c r="H10" s="253"/>
      <c r="I10" s="256"/>
    </row>
    <row r="11" spans="1:9" ht="14.25" x14ac:dyDescent="0.2">
      <c r="A11" s="32">
        <v>2321</v>
      </c>
      <c r="B11" s="185" t="s">
        <v>892</v>
      </c>
      <c r="C11" s="276">
        <f t="shared" si="0"/>
        <v>57064</v>
      </c>
      <c r="D11" s="244">
        <v>57064</v>
      </c>
      <c r="E11" s="243"/>
      <c r="F11" s="253"/>
      <c r="G11" s="253"/>
      <c r="H11" s="253"/>
      <c r="I11" s="256"/>
    </row>
    <row r="12" spans="1:9" x14ac:dyDescent="0.2">
      <c r="A12" s="32">
        <v>2400</v>
      </c>
      <c r="B12" t="s">
        <v>711</v>
      </c>
      <c r="C12" s="276">
        <f t="shared" si="0"/>
        <v>197699.19</v>
      </c>
      <c r="D12" s="20">
        <f>'DOE25'!L205+'DOE25'!L223+'DOE25'!L241-F12-G12-H12</f>
        <v>166384.94</v>
      </c>
      <c r="E12" s="243"/>
      <c r="F12" s="244"/>
      <c r="G12" s="53">
        <f>'DOE25'!J205+'DOE25'!J223+'DOE25'!J241</f>
        <v>1718.04</v>
      </c>
      <c r="H12" s="53">
        <f>'DOE25'!K205+'DOE25'!K223+'DOE25'!K241</f>
        <v>29596.21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186914.66</v>
      </c>
      <c r="D14" s="20">
        <f>'DOE25'!L207+'DOE25'!L225+'DOE25'!L243-F14-G14-H14</f>
        <v>181514.66</v>
      </c>
      <c r="E14" s="243"/>
      <c r="F14" s="244"/>
      <c r="G14" s="53">
        <f>'DOE25'!J207+'DOE25'!J225+'DOE25'!J243</f>
        <v>5400</v>
      </c>
      <c r="H14" s="53">
        <f>'DOE25'!K207+'DOE25'!K225+'DOE25'!K243</f>
        <v>0</v>
      </c>
      <c r="I14" s="256"/>
    </row>
    <row r="15" spans="1:9" x14ac:dyDescent="0.2">
      <c r="A15" s="32">
        <v>2700</v>
      </c>
      <c r="B15" t="s">
        <v>799</v>
      </c>
      <c r="C15" s="276">
        <f t="shared" si="0"/>
        <v>139870.65</v>
      </c>
      <c r="D15" s="20">
        <f>'DOE25'!L208+'DOE25'!L226+'DOE25'!L244-F15-G15-H15</f>
        <v>100884.16999999998</v>
      </c>
      <c r="E15" s="243"/>
      <c r="F15" s="244"/>
      <c r="G15" s="53">
        <f>'DOE25'!J208+'DOE25'!J226+'DOE25'!J244</f>
        <v>38986.480000000003</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602711.12</v>
      </c>
      <c r="D25" s="243"/>
      <c r="E25" s="243"/>
      <c r="F25" s="255"/>
      <c r="G25" s="253"/>
      <c r="H25" s="253"/>
      <c r="I25" s="254">
        <f>'DOE25'!L260+'DOE25'!L261+'DOE25'!L341+'DOE25'!L342</f>
        <v>602711.12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73898.709999999992</v>
      </c>
      <c r="D29" s="284">
        <f>'DOE25'!L358+'DOE25'!L359+'DOE25'!L360-'DOE25'!I367-F29-G29-H29</f>
        <v>41392.159999999989</v>
      </c>
      <c r="E29" s="243"/>
      <c r="F29" s="244">
        <v>32506.55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80625.599999999991</v>
      </c>
      <c r="D31" s="20">
        <f>'DOE25'!L290+'DOE25'!L309+'DOE25'!L328+'DOE25'!L333+'DOE25'!L334+'DOE25'!L335-F31-G31-H31</f>
        <v>74130.539999999994</v>
      </c>
      <c r="E31" s="243"/>
      <c r="F31" s="244"/>
      <c r="G31" s="53">
        <f>'DOE25'!J290+'DOE25'!J309+'DOE25'!J328+'DOE25'!J333+'DOE25'!J334+'DOE25'!J335</f>
        <v>0</v>
      </c>
      <c r="H31" s="53">
        <f>'DOE25'!K290+'DOE25'!K309+'DOE25'!K328+'DOE25'!K333+'DOE25'!K334+'DOE25'!K335</f>
        <v>6495.06</v>
      </c>
      <c r="I31" s="256"/>
    </row>
    <row r="32" spans="1:9" ht="12" thickBot="1" x14ac:dyDescent="0.25">
      <c r="C32" s="277"/>
      <c r="G32" s="251"/>
      <c r="H32" s="251"/>
      <c r="I32" s="258"/>
    </row>
    <row r="33" spans="1:9" ht="12" thickTop="1" x14ac:dyDescent="0.2">
      <c r="B33" t="s">
        <v>809</v>
      </c>
      <c r="D33" s="245">
        <f t="shared" ref="D33:I33" si="1">SUM(D5:D31)</f>
        <v>2704251.31</v>
      </c>
      <c r="E33" s="245">
        <f t="shared" si="1"/>
        <v>169214.91999999998</v>
      </c>
      <c r="F33" s="245">
        <f t="shared" si="1"/>
        <v>32506.55</v>
      </c>
      <c r="G33" s="245">
        <f t="shared" si="1"/>
        <v>125493.06999999998</v>
      </c>
      <c r="H33" s="245">
        <f t="shared" si="1"/>
        <v>39940.35</v>
      </c>
      <c r="I33" s="245">
        <f t="shared" si="1"/>
        <v>602711.12</v>
      </c>
    </row>
    <row r="35" spans="1:9" ht="12" thickBot="1" x14ac:dyDescent="0.25">
      <c r="B35" s="251" t="s">
        <v>831</v>
      </c>
      <c r="D35" s="252">
        <f>E33</f>
        <v>169214.91999999998</v>
      </c>
      <c r="E35" s="248"/>
    </row>
    <row r="36" spans="1:9" ht="12" thickTop="1" x14ac:dyDescent="0.2">
      <c r="B36" t="s">
        <v>810</v>
      </c>
      <c r="D36" s="20">
        <f>D33</f>
        <v>2704251.31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Unity School District</v>
      </c>
      <c r="B2" s="126">
        <f>'DOE25'!B2</f>
        <v>539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2033019.04</v>
      </c>
      <c r="G4" s="303">
        <f>'DOE25'!L211+'DOE25'!L290</f>
        <v>2033019.0399999998</v>
      </c>
      <c r="H4" s="304">
        <f>F4-G4</f>
        <v>0</v>
      </c>
      <c r="I4" s="310" t="str">
        <f>IF(H4=0,"","Does not match DOE25 page 7 and 11 Totals!!")</f>
        <v/>
      </c>
      <c r="N4"/>
    </row>
    <row r="5" spans="1:18" x14ac:dyDescent="0.2">
      <c r="A5" s="21" t="s">
        <v>1481</v>
      </c>
      <c r="B5" s="305">
        <f>IFERROR(VLOOKUP(A5,'School Tables'!$C$3:$D$368,2,FALSE),"")</f>
        <v>20180</v>
      </c>
      <c r="C5" s="297" t="str">
        <f>IFERROR(INDEX('School Tables'!$B$3:$B$368,MATCH('School Level Expenditures'!B5,'School Tables'!$D$3:$D$368,0)),"")</f>
        <v>Unity</v>
      </c>
      <c r="D5" s="294">
        <f>2033019-E5+0.04</f>
        <v>1922570.12</v>
      </c>
      <c r="E5" s="294">
        <f>80625.6+9930.65+4634.05+15258.62</f>
        <v>110448.92</v>
      </c>
      <c r="F5" s="313">
        <f>D5+E5</f>
        <v>2033019.04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923047.45</v>
      </c>
      <c r="G36" s="303">
        <f>'DOE25'!L247+'DOE25'!L328</f>
        <v>923047.45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923047.45</v>
      </c>
      <c r="E37" s="294"/>
      <c r="F37" s="308">
        <f>D37+E37</f>
        <v>923047.45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Unity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167338.07999999999</v>
      </c>
      <c r="D8" s="95">
        <f>'DOE25'!G9</f>
        <v>0</v>
      </c>
      <c r="E8" s="95">
        <f>'DOE25'!H9</f>
        <v>0</v>
      </c>
      <c r="F8" s="95">
        <f>'DOE25'!I9</f>
        <v>53458.37</v>
      </c>
      <c r="G8" s="95">
        <f>'DOE25'!J9</f>
        <v>42003.159999999996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-26157.4</v>
      </c>
      <c r="E11" s="95">
        <f>'DOE25'!H12</f>
        <v>0</v>
      </c>
      <c r="F11" s="95">
        <f>'DOE25'!I12</f>
        <v>0</v>
      </c>
      <c r="G11" s="95">
        <f>'DOE25'!J12</f>
        <v>0</v>
      </c>
      <c r="H11" s="124"/>
      <c r="I11" s="124"/>
    </row>
    <row r="12" spans="1:9" x14ac:dyDescent="0.2">
      <c r="A12" s="1" t="s">
        <v>143</v>
      </c>
      <c r="B12" s="6">
        <v>140</v>
      </c>
      <c r="C12" s="95">
        <f>'DOE25'!F13</f>
        <v>55089.16</v>
      </c>
      <c r="D12" s="95">
        <f>'DOE25'!G13</f>
        <v>13098.79</v>
      </c>
      <c r="E12" s="95">
        <f>'DOE25'!H13</f>
        <v>34662.870000000003</v>
      </c>
      <c r="F12" s="95">
        <f>'DOE25'!I13</f>
        <v>0</v>
      </c>
      <c r="G12" s="95">
        <f>'DOE25'!J13</f>
        <v>0</v>
      </c>
      <c r="H12" s="124"/>
      <c r="I12" s="124"/>
    </row>
    <row r="13" spans="1:9" x14ac:dyDescent="0.2">
      <c r="A13" s="1" t="s">
        <v>144</v>
      </c>
      <c r="B13" s="6">
        <v>150</v>
      </c>
      <c r="C13" s="95">
        <f>'DOE25'!F14</f>
        <v>-1568.61</v>
      </c>
      <c r="D13" s="95">
        <f>'DOE25'!G14</f>
        <v>1198.67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1377.52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222236.15</v>
      </c>
      <c r="D18" s="41">
        <f>SUM(D8:D17)</f>
        <v>-11859.94</v>
      </c>
      <c r="E18" s="41">
        <f>SUM(E8:E17)</f>
        <v>34662.870000000003</v>
      </c>
      <c r="F18" s="41">
        <f>SUM(F8:F17)</f>
        <v>53458.37</v>
      </c>
      <c r="G18" s="41">
        <f>SUM(G8:G17)</f>
        <v>42003.159999999996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-82731.64</v>
      </c>
      <c r="D21" s="95">
        <f>'DOE25'!G22</f>
        <v>0</v>
      </c>
      <c r="E21" s="95">
        <f>'DOE25'!H22</f>
        <v>17233.63</v>
      </c>
      <c r="F21" s="95">
        <f>'DOE25'!I22</f>
        <v>39137.26</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70874.929999999993</v>
      </c>
      <c r="D23" s="95">
        <f>'DOE25'!G24</f>
        <v>0</v>
      </c>
      <c r="E23" s="95">
        <f>'DOE25'!H24</f>
        <v>35020.26</v>
      </c>
      <c r="F23" s="95">
        <f>'DOE25'!I24</f>
        <v>1682.25</v>
      </c>
      <c r="G23" s="95">
        <f>'DOE25'!J24</f>
        <v>0</v>
      </c>
      <c r="H23" s="124"/>
      <c r="I23" s="124"/>
    </row>
    <row r="24" spans="1:9" x14ac:dyDescent="0.2">
      <c r="A24" s="1" t="s">
        <v>153</v>
      </c>
      <c r="B24" s="6">
        <v>430</v>
      </c>
      <c r="C24" s="95">
        <f>'DOE25'!F25</f>
        <v>2360.0200000000013</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113337.06</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103840.37</v>
      </c>
      <c r="D31" s="41">
        <f>SUM(D21:D30)</f>
        <v>0</v>
      </c>
      <c r="E31" s="41">
        <f>SUM(E21:E30)</f>
        <v>52253.89</v>
      </c>
      <c r="F31" s="41">
        <f>SUM(F21:F30)</f>
        <v>40819.51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44994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-11859.94</v>
      </c>
      <c r="E47" s="95">
        <f>'DOE25'!H48</f>
        <v>-17591.02</v>
      </c>
      <c r="F47" s="95">
        <f>'DOE25'!I48</f>
        <v>12638.859999999986</v>
      </c>
      <c r="G47" s="95">
        <f>'DOE25'!J48</f>
        <v>42003.159999999996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73401.78</v>
      </c>
      <c r="D49" s="24" t="s">
        <v>288</v>
      </c>
      <c r="E49" s="24" t="s">
        <v>288</v>
      </c>
      <c r="F49" s="24" t="s">
        <v>288</v>
      </c>
      <c r="G49" s="24" t="s">
        <v>288</v>
      </c>
      <c r="H49" s="124"/>
      <c r="I49" s="124"/>
    </row>
    <row r="50" spans="1:9" ht="12.75" thickTop="1" thickBot="1" x14ac:dyDescent="0.25">
      <c r="A50" s="38" t="s">
        <v>884</v>
      </c>
      <c r="B50" s="48"/>
      <c r="C50" s="41">
        <f>SUM(C34:C49)</f>
        <v>118395.78</v>
      </c>
      <c r="D50" s="41">
        <f>SUM(D34:D49)</f>
        <v>-11859.94</v>
      </c>
      <c r="E50" s="41">
        <f>SUM(E34:E49)</f>
        <v>-17591.02</v>
      </c>
      <c r="F50" s="41">
        <f>SUM(F34:F49)</f>
        <v>12638.859999999986</v>
      </c>
      <c r="G50" s="41">
        <f>SUM(G34:G49)</f>
        <v>42003.159999999996</v>
      </c>
      <c r="H50" s="124"/>
      <c r="I50" s="124"/>
    </row>
    <row r="51" spans="1:9" ht="12" thickTop="1" x14ac:dyDescent="0.2">
      <c r="A51" s="38" t="s">
        <v>885</v>
      </c>
      <c r="B51" s="2"/>
      <c r="C51" s="41">
        <f>C50+C31</f>
        <v>222236.15</v>
      </c>
      <c r="D51" s="41">
        <f>D50+D31</f>
        <v>-11859.94</v>
      </c>
      <c r="E51" s="41">
        <f>E50+E31</f>
        <v>34662.869999999995</v>
      </c>
      <c r="F51" s="41">
        <f>F50+F31</f>
        <v>53458.369999999988</v>
      </c>
      <c r="G51" s="41">
        <f>G50+G31</f>
        <v>42003.159999999996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2000164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1868.2</v>
      </c>
      <c r="D59" s="95">
        <f>'DOE25'!G96</f>
        <v>0</v>
      </c>
      <c r="E59" s="95">
        <f>'DOE25'!H96</f>
        <v>0</v>
      </c>
      <c r="F59" s="95">
        <f>'DOE25'!I96</f>
        <v>0</v>
      </c>
      <c r="G59" s="95">
        <f>'DOE25'!J96</f>
        <v>48.3</v>
      </c>
      <c r="H59"/>
      <c r="I59"/>
    </row>
    <row r="60" spans="1:9" x14ac:dyDescent="0.2">
      <c r="A60" s="1" t="s">
        <v>170</v>
      </c>
      <c r="B60" s="118" t="s">
        <v>171</v>
      </c>
      <c r="C60" s="24" t="s">
        <v>288</v>
      </c>
      <c r="D60" s="95">
        <f>'DOE25'!G97</f>
        <v>13459.72</v>
      </c>
      <c r="E60" s="24" t="s">
        <v>288</v>
      </c>
      <c r="F60" s="24" t="s">
        <v>288</v>
      </c>
      <c r="G60" s="24" t="s">
        <v>288</v>
      </c>
      <c r="H60"/>
      <c r="I60"/>
    </row>
    <row r="61" spans="1:9" ht="12" thickBot="1" x14ac:dyDescent="0.25">
      <c r="A61" s="1" t="s">
        <v>172</v>
      </c>
      <c r="B61" s="118" t="s">
        <v>173</v>
      </c>
      <c r="C61" s="95">
        <f>SUM('DOE25'!F98:F110)</f>
        <v>28470.510000000002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30338.710000000003</v>
      </c>
      <c r="D62" s="130">
        <f>SUM(D57:D61)</f>
        <v>13459.72</v>
      </c>
      <c r="E62" s="130">
        <f>SUM(E57:E61)</f>
        <v>0</v>
      </c>
      <c r="F62" s="130">
        <f>SUM(F57:F61)</f>
        <v>0</v>
      </c>
      <c r="G62" s="130">
        <f>SUM(G57:G61)</f>
        <v>48.3</v>
      </c>
      <c r="H62"/>
      <c r="I62"/>
    </row>
    <row r="63" spans="1:9" ht="12" thickTop="1" x14ac:dyDescent="0.2">
      <c r="A63" s="29" t="s">
        <v>175</v>
      </c>
      <c r="B63" s="6"/>
      <c r="C63" s="22">
        <f>C56+C62</f>
        <v>2030502.71</v>
      </c>
      <c r="D63" s="22">
        <f>D56+D62</f>
        <v>13459.72</v>
      </c>
      <c r="E63" s="22">
        <f>E56+E62</f>
        <v>0</v>
      </c>
      <c r="F63" s="22">
        <f>F56+F62</f>
        <v>0</v>
      </c>
      <c r="G63" s="22">
        <f>G56+G62</f>
        <v>48.3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851291.48</v>
      </c>
      <c r="D66" s="24" t="s">
        <v>288</v>
      </c>
      <c r="E66" s="24" t="s">
        <v>288</v>
      </c>
      <c r="F66" s="24" t="s">
        <v>288</v>
      </c>
      <c r="G66" s="24" t="s">
        <v>288</v>
      </c>
      <c r="H66"/>
      <c r="I66"/>
    </row>
    <row r="67" spans="1:9" x14ac:dyDescent="0.2">
      <c r="A67" s="1" t="s">
        <v>770</v>
      </c>
      <c r="B67" s="6">
        <v>3112</v>
      </c>
      <c r="C67" s="95">
        <f>'DOE25'!F118</f>
        <v>249549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1100840.48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239161.8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6771.16</v>
      </c>
      <c r="D74" s="24"/>
      <c r="E74" s="24"/>
      <c r="F74" s="24"/>
      <c r="G74" s="24"/>
      <c r="H74"/>
      <c r="I74"/>
    </row>
    <row r="75" spans="1:9" x14ac:dyDescent="0.2">
      <c r="A75" s="1" t="s">
        <v>256</v>
      </c>
      <c r="B75" s="6">
        <v>3230</v>
      </c>
      <c r="C75" s="95">
        <f>'DOE25'!F126</f>
        <v>135631.82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755.77</v>
      </c>
      <c r="E77" s="95">
        <f>SUM('DOE25'!H131:H135)</f>
        <v>0</v>
      </c>
      <c r="F77" s="95">
        <f>SUM('DOE25'!I131:I135)</f>
        <v>0</v>
      </c>
      <c r="G77" s="95">
        <f>SUM('DOE25'!J131:J135)</f>
        <v>0</v>
      </c>
      <c r="H77"/>
      <c r="I77"/>
    </row>
    <row r="78" spans="1:9" ht="12.75" thickTop="1" thickBot="1" x14ac:dyDescent="0.25">
      <c r="A78" s="29" t="s">
        <v>259</v>
      </c>
      <c r="B78" s="6"/>
      <c r="C78" s="130">
        <f>SUM(C72:C77)</f>
        <v>381564.78</v>
      </c>
      <c r="D78" s="130">
        <f>SUM(D72:D77)</f>
        <v>755.77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1482405.26</v>
      </c>
      <c r="D81" s="130">
        <f>SUM(D79:D80)+D78+D70</f>
        <v>755.77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13067.73</v>
      </c>
      <c r="D88" s="95">
        <f>SUM('DOE25'!G153:G161)</f>
        <v>29823.32</v>
      </c>
      <c r="E88" s="95">
        <f>SUM('DOE25'!H153:H161)</f>
        <v>43513.4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13067.73</v>
      </c>
      <c r="D91" s="131">
        <f>SUM(D85:D90)</f>
        <v>29823.32</v>
      </c>
      <c r="E91" s="131">
        <f>SUM(E85:E90)</f>
        <v>43513.4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18000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18000</v>
      </c>
      <c r="E103" s="86">
        <f>SUM(E93:E102)</f>
        <v>0</v>
      </c>
      <c r="F103" s="86">
        <f>SUM(F93:F102)</f>
        <v>0</v>
      </c>
      <c r="G103" s="86">
        <f>SUM(G93:G102)</f>
        <v>0</v>
      </c>
    </row>
    <row r="104" spans="1:7" ht="12.75" thickTop="1" thickBot="1" x14ac:dyDescent="0.25">
      <c r="A104" s="33" t="s">
        <v>761</v>
      </c>
      <c r="C104" s="86">
        <f>C63+C81+C91+C103</f>
        <v>3525975.6999999997</v>
      </c>
      <c r="D104" s="86">
        <f>D63+D81+D91+D103</f>
        <v>62038.81</v>
      </c>
      <c r="E104" s="86">
        <f>E63+E81+E91+E103</f>
        <v>43513.4</v>
      </c>
      <c r="F104" s="86">
        <f>F63+F81+F91+F103</f>
        <v>0</v>
      </c>
      <c r="G104" s="86">
        <f>G63+G81+G103</f>
        <v>48.3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1411002.25</v>
      </c>
      <c r="D109" s="24" t="s">
        <v>288</v>
      </c>
      <c r="E109" s="95">
        <f>('DOE25'!L276)+('DOE25'!L295)+('DOE25'!L314)</f>
        <v>32397.519999999997</v>
      </c>
      <c r="F109" s="24" t="s">
        <v>288</v>
      </c>
      <c r="G109" s="24" t="s">
        <v>288</v>
      </c>
    </row>
    <row r="110" spans="1:7" x14ac:dyDescent="0.2">
      <c r="A110" t="s">
        <v>198</v>
      </c>
      <c r="B110" s="32" t="s">
        <v>199</v>
      </c>
      <c r="C110" s="95">
        <f>('DOE25'!L198)+('DOE25'!L216)+('DOE25'!L234)</f>
        <v>482628.98</v>
      </c>
      <c r="D110" s="24" t="s">
        <v>288</v>
      </c>
      <c r="E110" s="95">
        <f>('DOE25'!L277)+('DOE25'!L296)+('DOE25'!L315)</f>
        <v>32588.100000000002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5101.4799999999996</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1898732.71</v>
      </c>
      <c r="D115" s="86">
        <f>SUM(D109:D114)</f>
        <v>0</v>
      </c>
      <c r="E115" s="86">
        <f>SUM(E109:E114)</f>
        <v>64985.619999999995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17909.53</v>
      </c>
      <c r="D118" s="24" t="s">
        <v>288</v>
      </c>
      <c r="E118" s="95">
        <f>+('DOE25'!L281)+('DOE25'!L300)+('DOE25'!L319)</f>
        <v>0</v>
      </c>
      <c r="F118" s="24" t="s">
        <v>288</v>
      </c>
      <c r="G118" s="24" t="s">
        <v>288</v>
      </c>
    </row>
    <row r="119" spans="1:7" x14ac:dyDescent="0.2">
      <c r="A119" t="s">
        <v>208</v>
      </c>
      <c r="B119" s="32" t="s">
        <v>209</v>
      </c>
      <c r="C119" s="95">
        <f>('DOE25'!L203)+('DOE25'!L221)+('DOE25'!L239)</f>
        <v>185200.68</v>
      </c>
      <c r="D119" s="24" t="s">
        <v>288</v>
      </c>
      <c r="E119" s="95">
        <f>+('DOE25'!L282)+('DOE25'!L301)+('DOE25'!L320)</f>
        <v>9144.92</v>
      </c>
      <c r="F119" s="24" t="s">
        <v>288</v>
      </c>
      <c r="G119" s="24" t="s">
        <v>288</v>
      </c>
    </row>
    <row r="120" spans="1:7" x14ac:dyDescent="0.2">
      <c r="A120" t="s">
        <v>210</v>
      </c>
      <c r="B120" s="32" t="s">
        <v>211</v>
      </c>
      <c r="C120" s="95">
        <f>('DOE25'!L204)+('DOE25'!L222)+('DOE25'!L240)</f>
        <v>249113.46999999997</v>
      </c>
      <c r="D120" s="24" t="s">
        <v>288</v>
      </c>
      <c r="E120" s="95">
        <f>+('DOE25'!L283)+('DOE25'!L302)+('DOE25'!L321)</f>
        <v>0</v>
      </c>
      <c r="F120" s="24" t="s">
        <v>288</v>
      </c>
      <c r="G120" s="24" t="s">
        <v>288</v>
      </c>
    </row>
    <row r="121" spans="1:7" x14ac:dyDescent="0.2">
      <c r="A121" t="s">
        <v>212</v>
      </c>
      <c r="B121" s="32" t="s">
        <v>213</v>
      </c>
      <c r="C121" s="95">
        <f>('DOE25'!L205)+('DOE25'!L223)+('DOE25'!L241)</f>
        <v>197699.19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6495.06</v>
      </c>
      <c r="F122" s="24" t="s">
        <v>288</v>
      </c>
      <c r="G122" s="24" t="s">
        <v>288</v>
      </c>
    </row>
    <row r="123" spans="1:7" x14ac:dyDescent="0.2">
      <c r="A123" t="s">
        <v>216</v>
      </c>
      <c r="B123" s="32" t="s">
        <v>217</v>
      </c>
      <c r="C123" s="95">
        <f>('DOE25'!L207)+('DOE25'!L225)+('DOE25'!L243)</f>
        <v>186914.66</v>
      </c>
      <c r="D123" s="24" t="s">
        <v>288</v>
      </c>
      <c r="E123" s="95">
        <f>+('DOE25'!L286)+('DOE25'!L305)+('DOE25'!L324)</f>
        <v>0</v>
      </c>
      <c r="F123" s="24" t="s">
        <v>288</v>
      </c>
      <c r="G123" s="24" t="s">
        <v>288</v>
      </c>
    </row>
    <row r="124" spans="1:7" x14ac:dyDescent="0.2">
      <c r="A124" t="s">
        <v>218</v>
      </c>
      <c r="B124" s="32" t="s">
        <v>219</v>
      </c>
      <c r="C124" s="95">
        <f>('DOE25'!L208)+('DOE25'!L226)+('DOE25'!L244+'DOE25'!L254)</f>
        <v>139870.65</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73898.709999999992</v>
      </c>
      <c r="E127" s="24" t="s">
        <v>288</v>
      </c>
      <c r="F127" s="24" t="s">
        <v>288</v>
      </c>
      <c r="G127" s="24" t="s">
        <v>288</v>
      </c>
    </row>
    <row r="128" spans="1:7" ht="12.75" thickTop="1" thickBot="1" x14ac:dyDescent="0.25">
      <c r="A128" s="33" t="s">
        <v>226</v>
      </c>
      <c r="C128" s="86">
        <f>SUM(C118:C127)</f>
        <v>976708.17999999993</v>
      </c>
      <c r="D128" s="86">
        <f>SUM(D118:D127)</f>
        <v>73898.709999999992</v>
      </c>
      <c r="E128" s="86">
        <f>SUM(E118:E127)</f>
        <v>15639.98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369091.82</v>
      </c>
      <c r="D131" s="24" t="s">
        <v>288</v>
      </c>
      <c r="E131" s="129">
        <f>'DOE25'!L341</f>
        <v>0</v>
      </c>
      <c r="F131" s="24" t="s">
        <v>288</v>
      </c>
      <c r="G131" s="24" t="s">
        <v>288</v>
      </c>
    </row>
    <row r="132" spans="1:7" x14ac:dyDescent="0.2">
      <c r="A132" t="s">
        <v>230</v>
      </c>
      <c r="B132" s="32">
        <v>5120</v>
      </c>
      <c r="C132" s="95">
        <f>'DOE25'!L261</f>
        <v>233619.3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18000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32.43</v>
      </c>
      <c r="D138" s="24" t="s">
        <v>288</v>
      </c>
      <c r="E138" s="24" t="s">
        <v>288</v>
      </c>
      <c r="F138" s="24" t="s">
        <v>288</v>
      </c>
      <c r="G138" s="24" t="s">
        <v>288</v>
      </c>
    </row>
    <row r="139" spans="1:7" x14ac:dyDescent="0.2">
      <c r="A139" t="s">
        <v>239</v>
      </c>
      <c r="B139" s="32">
        <v>5252</v>
      </c>
      <c r="C139" s="95">
        <f>'DOE25'!L401</f>
        <v>7.7700000000000005</v>
      </c>
      <c r="D139" s="24" t="s">
        <v>288</v>
      </c>
      <c r="E139" s="24" t="s">
        <v>288</v>
      </c>
      <c r="F139" s="24" t="s">
        <v>288</v>
      </c>
      <c r="G139" s="24" t="s">
        <v>288</v>
      </c>
    </row>
    <row r="140" spans="1:7" x14ac:dyDescent="0.2">
      <c r="A140" t="s">
        <v>240</v>
      </c>
      <c r="B140" s="32">
        <v>5253</v>
      </c>
      <c r="C140" s="95">
        <f>'DOE25'!L407</f>
        <v>8.1</v>
      </c>
      <c r="D140" s="24" t="s">
        <v>288</v>
      </c>
      <c r="E140" s="24" t="s">
        <v>288</v>
      </c>
      <c r="F140" s="24" t="s">
        <v>288</v>
      </c>
      <c r="G140" s="24" t="s">
        <v>288</v>
      </c>
    </row>
    <row r="141" spans="1:7" x14ac:dyDescent="0.2">
      <c r="A141" t="s">
        <v>762</v>
      </c>
      <c r="B141" s="32">
        <v>5254</v>
      </c>
      <c r="C141" s="95">
        <f>('DOE25'!L266+'DOE25'!K347) - (C138+C139+C140)</f>
        <v>-48.300000000000004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620711.12</v>
      </c>
      <c r="D144" s="141">
        <f>SUM(D130:D143)</f>
        <v>0</v>
      </c>
      <c r="E144" s="141">
        <f>SUM(E130:E143)</f>
        <v>0</v>
      </c>
      <c r="F144" s="141">
        <f>SUM(F130:F143)</f>
        <v>0</v>
      </c>
      <c r="G144" s="141">
        <f>SUM(G130:G143)</f>
        <v>0</v>
      </c>
    </row>
    <row r="145" spans="1:9" ht="12.75" thickTop="1" thickBot="1" x14ac:dyDescent="0.25">
      <c r="A145" s="33" t="s">
        <v>244</v>
      </c>
      <c r="C145" s="86">
        <f>(C115+C128+C144)</f>
        <v>3496152.01</v>
      </c>
      <c r="D145" s="86">
        <f>(D115+D128+D144)</f>
        <v>73898.709999999992</v>
      </c>
      <c r="E145" s="86">
        <f>(E115+E128+E144)</f>
        <v>80625.599999999991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20</v>
      </c>
      <c r="E151" s="153">
        <f>'DOE25'!I490</f>
        <v>20</v>
      </c>
      <c r="F151" s="153">
        <f>'DOE25'!J490</f>
        <v>0</v>
      </c>
      <c r="G151" s="24" t="s">
        <v>288</v>
      </c>
    </row>
    <row r="152" spans="1:9" x14ac:dyDescent="0.2">
      <c r="A152" s="136" t="s">
        <v>28</v>
      </c>
      <c r="B152" s="152" t="str">
        <f>'DOE25'!F491</f>
        <v>07/12</v>
      </c>
      <c r="C152" s="152" t="str">
        <f>'DOE25'!G491</f>
        <v>07/13</v>
      </c>
      <c r="D152" s="152">
        <f>'DOE25'!H491</f>
        <v>0.6428571428571429</v>
      </c>
      <c r="E152" s="152">
        <f>'DOE25'!I491</f>
        <v>0.5</v>
      </c>
      <c r="F152" s="152">
        <f>'DOE25'!J491</f>
        <v>0</v>
      </c>
      <c r="G152" s="24" t="s">
        <v>288</v>
      </c>
    </row>
    <row r="153" spans="1:9" x14ac:dyDescent="0.2">
      <c r="A153" s="136" t="s">
        <v>29</v>
      </c>
      <c r="B153" s="152" t="str">
        <f>'DOE25'!F492</f>
        <v>08/32</v>
      </c>
      <c r="C153" s="152" t="str">
        <f>'DOE25'!G492</f>
        <v>07/33</v>
      </c>
      <c r="D153" s="152">
        <f>'DOE25'!H492</f>
        <v>0.26470588235294118</v>
      </c>
      <c r="E153" s="152">
        <f>'DOE25'!I492</f>
        <v>0.20588235294117646</v>
      </c>
      <c r="F153" s="152">
        <f>'DOE25'!J492</f>
        <v>0</v>
      </c>
      <c r="G153" s="24" t="s">
        <v>288</v>
      </c>
    </row>
    <row r="154" spans="1:9" x14ac:dyDescent="0.2">
      <c r="A154" s="136" t="s">
        <v>30</v>
      </c>
      <c r="B154" s="137">
        <f>'DOE25'!F493</f>
        <v>4571850</v>
      </c>
      <c r="C154" s="137">
        <f>'DOE25'!G493</f>
        <v>550000</v>
      </c>
      <c r="D154" s="137">
        <f>'DOE25'!H493</f>
        <v>738629</v>
      </c>
      <c r="E154" s="137">
        <f>'DOE25'!I493</f>
        <v>1840000</v>
      </c>
      <c r="F154" s="137">
        <f>'DOE25'!J493</f>
        <v>0</v>
      </c>
      <c r="G154" s="24" t="s">
        <v>288</v>
      </c>
    </row>
    <row r="155" spans="1:9" x14ac:dyDescent="0.2">
      <c r="A155" s="136" t="s">
        <v>31</v>
      </c>
      <c r="B155" s="137">
        <f>'DOE25'!F494</f>
        <v>3.2</v>
      </c>
      <c r="C155" s="137">
        <f>'DOE25'!G494</f>
        <v>3.25</v>
      </c>
      <c r="D155" s="137">
        <f>'DOE25'!H494</f>
        <v>3.25</v>
      </c>
      <c r="E155" s="137">
        <f>'DOE25'!I494</f>
        <v>3.2534000000000001</v>
      </c>
      <c r="F155" s="137">
        <f>'DOE25'!J494</f>
        <v>0</v>
      </c>
      <c r="G155" s="24" t="s">
        <v>288</v>
      </c>
    </row>
    <row r="156" spans="1:9" x14ac:dyDescent="0.2">
      <c r="A156" s="22" t="s">
        <v>32</v>
      </c>
      <c r="B156" s="137">
        <f>'DOE25'!F495</f>
        <v>3420000</v>
      </c>
      <c r="C156" s="137">
        <f>'DOE25'!G495</f>
        <v>440000</v>
      </c>
      <c r="D156" s="137">
        <f>'DOE25'!H495</f>
        <v>389385.08</v>
      </c>
      <c r="E156" s="137">
        <f>'DOE25'!I495</f>
        <v>1555000</v>
      </c>
      <c r="F156" s="137">
        <f>'DOE25'!J495</f>
        <v>0</v>
      </c>
      <c r="G156" s="138">
        <f>SUM(B156:F156)</f>
        <v>5804385.0800000001</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230000</v>
      </c>
      <c r="C158" s="137">
        <f>'DOE25'!G497</f>
        <v>27500</v>
      </c>
      <c r="D158" s="137">
        <f>'DOE25'!H497</f>
        <v>0</v>
      </c>
      <c r="E158" s="137">
        <f>'DOE25'!I497</f>
        <v>95000</v>
      </c>
      <c r="F158" s="137">
        <f>'DOE25'!J497</f>
        <v>0</v>
      </c>
      <c r="G158" s="138">
        <f t="shared" si="0"/>
        <v>352500</v>
      </c>
    </row>
    <row r="159" spans="1:9" x14ac:dyDescent="0.2">
      <c r="A159" s="22" t="s">
        <v>35</v>
      </c>
      <c r="B159" s="137">
        <f>'DOE25'!F498</f>
        <v>3190000</v>
      </c>
      <c r="C159" s="137">
        <f>'DOE25'!G498</f>
        <v>412500</v>
      </c>
      <c r="D159" s="137">
        <f>'DOE25'!H498</f>
        <v>389385.08</v>
      </c>
      <c r="E159" s="137">
        <f>'DOE25'!I498</f>
        <v>1460000</v>
      </c>
      <c r="F159" s="137">
        <f>'DOE25'!J498</f>
        <v>0</v>
      </c>
      <c r="G159" s="138">
        <f t="shared" si="0"/>
        <v>5451885.0800000001</v>
      </c>
    </row>
    <row r="160" spans="1:9" x14ac:dyDescent="0.2">
      <c r="A160" s="22" t="s">
        <v>36</v>
      </c>
      <c r="B160" s="137">
        <f>'DOE25'!F499</f>
        <v>797913</v>
      </c>
      <c r="C160" s="137">
        <f>'DOE25'!G499</f>
        <v>64146.94</v>
      </c>
      <c r="D160" s="137">
        <f>'DOE25'!H499</f>
        <v>191361</v>
      </c>
      <c r="E160" s="137">
        <f>'DOE25'!I499</f>
        <v>477960</v>
      </c>
      <c r="F160" s="137">
        <f>'DOE25'!J499</f>
        <v>0</v>
      </c>
      <c r="G160" s="138">
        <f t="shared" si="0"/>
        <v>1531380.94</v>
      </c>
    </row>
    <row r="161" spans="1:7" x14ac:dyDescent="0.2">
      <c r="A161" s="22" t="s">
        <v>37</v>
      </c>
      <c r="B161" s="137">
        <f>'DOE25'!F500</f>
        <v>3987913</v>
      </c>
      <c r="C161" s="137">
        <f>'DOE25'!G500</f>
        <v>476646.94</v>
      </c>
      <c r="D161" s="137">
        <f>'DOE25'!H500</f>
        <v>580746.08000000007</v>
      </c>
      <c r="E161" s="137">
        <f>'DOE25'!I500</f>
        <v>1937960</v>
      </c>
      <c r="F161" s="137">
        <f>'DOE25'!J500</f>
        <v>0</v>
      </c>
      <c r="G161" s="138">
        <f t="shared" si="0"/>
        <v>6983266.0200000005</v>
      </c>
    </row>
    <row r="162" spans="1:7" x14ac:dyDescent="0.2">
      <c r="A162" s="22" t="s">
        <v>38</v>
      </c>
      <c r="B162" s="137">
        <f>'DOE25'!F501</f>
        <v>230000</v>
      </c>
      <c r="C162" s="137">
        <f>'DOE25'!G501</f>
        <v>55000</v>
      </c>
      <c r="D162" s="137">
        <f>'DOE25'!H501</f>
        <v>36931.449999999997</v>
      </c>
      <c r="E162" s="137">
        <f>'DOE25'!I501</f>
        <v>95000</v>
      </c>
      <c r="F162" s="137">
        <f>'DOE25'!J501</f>
        <v>0</v>
      </c>
      <c r="G162" s="138">
        <f t="shared" si="0"/>
        <v>416931.45</v>
      </c>
    </row>
    <row r="163" spans="1:7" x14ac:dyDescent="0.2">
      <c r="A163" s="22" t="s">
        <v>39</v>
      </c>
      <c r="B163" s="137">
        <f>'DOE25'!F502</f>
        <v>111831.26</v>
      </c>
      <c r="C163" s="137">
        <f>'DOE25'!G502</f>
        <v>13061.76</v>
      </c>
      <c r="D163" s="137">
        <f>'DOE25'!H502</f>
        <v>12459.84</v>
      </c>
      <c r="E163" s="137">
        <f>'DOE25'!I502</f>
        <v>61237.5</v>
      </c>
      <c r="F163" s="137">
        <f>'DOE25'!J502</f>
        <v>0</v>
      </c>
      <c r="G163" s="138">
        <f t="shared" si="0"/>
        <v>198590.36</v>
      </c>
    </row>
    <row r="164" spans="1:7" x14ac:dyDescent="0.2">
      <c r="A164" s="22" t="s">
        <v>246</v>
      </c>
      <c r="B164" s="137">
        <f>'DOE25'!F503</f>
        <v>341831.26</v>
      </c>
      <c r="C164" s="137">
        <f>'DOE25'!G503</f>
        <v>68061.759999999995</v>
      </c>
      <c r="D164" s="137">
        <f>'DOE25'!H503</f>
        <v>49391.289999999994</v>
      </c>
      <c r="E164" s="137">
        <f>'DOE25'!I503</f>
        <v>156237.5</v>
      </c>
      <c r="F164" s="137">
        <f>'DOE25'!J503</f>
        <v>0</v>
      </c>
      <c r="G164" s="138">
        <f t="shared" si="0"/>
        <v>615521.81000000006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9" zoomScale="125" zoomScaleNormal="125"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Unity School District</v>
      </c>
    </row>
    <row r="3" spans="1:4" x14ac:dyDescent="0.2">
      <c r="B3" s="188" t="s">
        <v>1602</v>
      </c>
    </row>
    <row r="4" spans="1:4" x14ac:dyDescent="0.2">
      <c r="B4" t="s">
        <v>61</v>
      </c>
      <c r="C4" s="179">
        <f>IF('DOE25'!F665+'DOE25'!F670=0,0,ROUND('DOE25'!F672,0))</f>
        <v>18817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18817</v>
      </c>
    </row>
    <row r="9" spans="1:4" x14ac:dyDescent="0.2">
      <c r="A9" s="187" t="s">
        <v>94</v>
      </c>
      <c r="B9" s="188" t="s">
        <v>1603</v>
      </c>
      <c r="C9" s="181" t="s">
        <v>720</v>
      </c>
      <c r="D9" s="181" t="s">
        <v>721</v>
      </c>
    </row>
    <row r="10" spans="1:4" x14ac:dyDescent="0.2">
      <c r="A10">
        <v>1100</v>
      </c>
      <c r="B10" t="s">
        <v>702</v>
      </c>
      <c r="C10" s="179">
        <f>ROUND('DOE25'!L197+'DOE25'!L215+'DOE25'!L233+'DOE25'!L276+'DOE25'!L295+'DOE25'!L314,0)</f>
        <v>1443400</v>
      </c>
      <c r="D10" s="182">
        <f>ROUND((C10/$C$28)*100,1)</f>
        <v>44.4</v>
      </c>
    </row>
    <row r="11" spans="1:4" x14ac:dyDescent="0.2">
      <c r="A11">
        <v>1200</v>
      </c>
      <c r="B11" t="s">
        <v>703</v>
      </c>
      <c r="C11" s="179">
        <f>ROUND('DOE25'!L198+'DOE25'!L216+'DOE25'!L234+'DOE25'!L277+'DOE25'!L296+'DOE25'!L315,0)</f>
        <v>515217</v>
      </c>
      <c r="D11" s="182">
        <f>ROUND((C11/$C$28)*100,1)</f>
        <v>15.9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5101</v>
      </c>
      <c r="D13" s="182">
        <f>ROUND((C13/$C$28)*100,1)</f>
        <v>0.2</v>
      </c>
    </row>
    <row r="14" spans="1:4" x14ac:dyDescent="0.2">
      <c r="D14" s="182"/>
    </row>
    <row r="15" spans="1:4" x14ac:dyDescent="0.2">
      <c r="A15">
        <v>2100</v>
      </c>
      <c r="B15" t="s">
        <v>706</v>
      </c>
      <c r="C15" s="179">
        <f>ROUND('DOE25'!L202+'DOE25'!L220+'DOE25'!L238+'DOE25'!L281+'DOE25'!L300+'DOE25'!L319,0)</f>
        <v>17910</v>
      </c>
      <c r="D15" s="182">
        <f t="shared" ref="D15:D27" si="0">ROUND((C15/$C$28)*100,1)</f>
        <v>0.6</v>
      </c>
    </row>
    <row r="16" spans="1:4" x14ac:dyDescent="0.2">
      <c r="A16">
        <v>2200</v>
      </c>
      <c r="B16" t="s">
        <v>707</v>
      </c>
      <c r="C16" s="179">
        <f>ROUND('DOE25'!L203+'DOE25'!L221+'DOE25'!L239+'DOE25'!L282+'DOE25'!L301+'DOE25'!L320,0)</f>
        <v>194346</v>
      </c>
      <c r="D16" s="182">
        <f t="shared" si="0"/>
        <v>6</v>
      </c>
    </row>
    <row r="17" spans="1:4" x14ac:dyDescent="0.2">
      <c r="A17" s="183" t="s">
        <v>723</v>
      </c>
      <c r="B17" t="s">
        <v>738</v>
      </c>
      <c r="C17" s="179">
        <f>ROUND('DOE25'!L204+'DOE25'!L209+'DOE25'!L222+'DOE25'!L227+'DOE25'!L240+'DOE25'!L245+'DOE25'!L283+'DOE25'!L288+'DOE25'!L302+'DOE25'!L307+'DOE25'!L321+'DOE25'!L326,0)</f>
        <v>249113</v>
      </c>
      <c r="D17" s="182">
        <f t="shared" si="0"/>
        <v>7.7</v>
      </c>
    </row>
    <row r="18" spans="1:4" x14ac:dyDescent="0.2">
      <c r="A18">
        <v>2400</v>
      </c>
      <c r="B18" t="s">
        <v>711</v>
      </c>
      <c r="C18" s="179">
        <f>ROUND('DOE25'!L205+'DOE25'!L223+'DOE25'!L241+'DOE25'!L284+'DOE25'!L303+'DOE25'!L322,0)</f>
        <v>197699</v>
      </c>
      <c r="D18" s="182">
        <f t="shared" si="0"/>
        <v>6.1</v>
      </c>
    </row>
    <row r="19" spans="1:4" x14ac:dyDescent="0.2">
      <c r="A19">
        <v>2500</v>
      </c>
      <c r="B19" t="s">
        <v>708</v>
      </c>
      <c r="C19" s="179">
        <f>ROUND('DOE25'!L206+'DOE25'!L224+'DOE25'!L242+'DOE25'!L285+'DOE25'!L304+'DOE25'!L323,0)</f>
        <v>6495</v>
      </c>
      <c r="D19" s="182">
        <f t="shared" si="0"/>
        <v>0.2</v>
      </c>
    </row>
    <row r="20" spans="1:4" x14ac:dyDescent="0.2">
      <c r="A20">
        <v>2600</v>
      </c>
      <c r="B20" t="s">
        <v>709</v>
      </c>
      <c r="C20" s="179">
        <f>ROUND('DOE25'!L207+'DOE25'!L225+'DOE25'!L243+'DOE25'!L286+'DOE25'!L305+'DOE25'!L324,0)</f>
        <v>186915</v>
      </c>
      <c r="D20" s="182">
        <f t="shared" si="0"/>
        <v>5.8</v>
      </c>
    </row>
    <row r="21" spans="1:4" x14ac:dyDescent="0.2">
      <c r="A21">
        <v>2700</v>
      </c>
      <c r="B21" t="s">
        <v>710</v>
      </c>
      <c r="C21" s="179">
        <f>ROUND('DOE25'!L208+'DOE25'!L226+'DOE25'!L244+'DOE25'!L287+'DOE25'!L306+'DOE25'!L325,0)</f>
        <v>139871</v>
      </c>
      <c r="D21" s="182">
        <f t="shared" si="0"/>
        <v>4.3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233619</v>
      </c>
      <c r="D25" s="182">
        <f t="shared" si="0"/>
        <v>7.2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60439.28</v>
      </c>
      <c r="D27" s="182">
        <f t="shared" si="0"/>
        <v>1.9</v>
      </c>
    </row>
    <row r="28" spans="1:4" x14ac:dyDescent="0.2">
      <c r="B28" s="187" t="s">
        <v>719</v>
      </c>
      <c r="C28" s="180">
        <f>SUM(C10:C27)</f>
        <v>3250125.28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3250125.28</v>
      </c>
    </row>
    <row r="31" spans="1:4" x14ac:dyDescent="0.2">
      <c r="B31" s="33"/>
      <c r="C31" s="180"/>
    </row>
    <row r="32" spans="1:4" x14ac:dyDescent="0.2">
      <c r="A32">
        <v>5100</v>
      </c>
      <c r="B32" s="33" t="s">
        <v>726</v>
      </c>
      <c r="C32" s="180">
        <f>ROUND('DOE25'!L260+'DOE25'!L341,0)</f>
        <v>369092</v>
      </c>
    </row>
    <row r="34" spans="1:4" x14ac:dyDescent="0.2">
      <c r="A34" s="187" t="s">
        <v>94</v>
      </c>
      <c r="B34" s="188" t="s">
        <v>1604</v>
      </c>
      <c r="C34" s="181" t="s">
        <v>720</v>
      </c>
      <c r="D34" s="181" t="s">
        <v>721</v>
      </c>
    </row>
    <row r="35" spans="1:4" x14ac:dyDescent="0.2">
      <c r="A35">
        <v>1100</v>
      </c>
      <c r="B35" s="185" t="s">
        <v>727</v>
      </c>
      <c r="C35" s="179">
        <f>ROUND('DOE25'!F60+'DOE25'!G60+'DOE25'!H60+'DOE25'!I60+'DOE25'!J60,0)</f>
        <v>2000164</v>
      </c>
      <c r="D35" s="182">
        <f t="shared" ref="D35:D40" si="1">ROUND((C35/$C$41)*100,1)</f>
        <v>55.6</v>
      </c>
    </row>
    <row r="36" spans="1:4" x14ac:dyDescent="0.2">
      <c r="B36" s="185" t="s">
        <v>739</v>
      </c>
      <c r="C36" s="179">
        <f>SUM('DOE25'!F112:J112)-SUM('DOE25'!G97:G110)+('DOE25'!F174+'DOE25'!F175+'DOE25'!I174+'DOE25'!I175)-C35</f>
        <v>30387.010000000009</v>
      </c>
      <c r="D36" s="182">
        <f t="shared" si="1"/>
        <v>0.8</v>
      </c>
    </row>
    <row r="37" spans="1:4" x14ac:dyDescent="0.2">
      <c r="A37" s="183" t="s">
        <v>835</v>
      </c>
      <c r="B37" s="185" t="s">
        <v>728</v>
      </c>
      <c r="C37" s="179">
        <f>ROUND('DOE25'!F117+'DOE25'!F118,0)</f>
        <v>1100840</v>
      </c>
      <c r="D37" s="182">
        <f t="shared" si="1"/>
        <v>30.6</v>
      </c>
    </row>
    <row r="38" spans="1:4" x14ac:dyDescent="0.2">
      <c r="A38" s="183" t="s">
        <v>734</v>
      </c>
      <c r="B38" s="185" t="s">
        <v>729</v>
      </c>
      <c r="C38" s="179">
        <f>ROUND(SUM('DOE25'!F140:J140)-SUM('DOE25'!F117:F119),0)</f>
        <v>382321</v>
      </c>
      <c r="D38" s="182">
        <f t="shared" si="1"/>
        <v>10.6</v>
      </c>
    </row>
    <row r="39" spans="1:4" x14ac:dyDescent="0.2">
      <c r="A39">
        <v>4000</v>
      </c>
      <c r="B39" s="185" t="s">
        <v>730</v>
      </c>
      <c r="C39" s="179">
        <f>ROUND('DOE25'!F169+'DOE25'!G169+'DOE25'!H169+'DOE25'!I169,0)</f>
        <v>86404</v>
      </c>
      <c r="D39" s="182">
        <f t="shared" si="1"/>
        <v>2.4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3600116.01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showGridLines="0"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Unity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2019-11-27T13:15:56Z</cp:lastPrinted>
  <dcterms:created xsi:type="dcterms:W3CDTF">1997-12-04T19:04:30Z</dcterms:created>
  <dcterms:modified xsi:type="dcterms:W3CDTF">2019-11-27T13:21:05Z</dcterms:modified>
</cp:coreProperties>
</file>