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88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iterate="1" iterateCount="1"/>
</workbook>
</file>

<file path=xl/calcChain.xml><?xml version="1.0" encoding="utf-8"?>
<calcChain xmlns="http://schemas.openxmlformats.org/spreadsheetml/2006/main">
  <c r="C21" i="12"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47" i="1" s="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G17" i="13"/>
  <c r="H17" i="13"/>
  <c r="L251" i="1"/>
  <c r="G18" i="13"/>
  <c r="H18" i="13"/>
  <c r="L252" i="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L261" i="1"/>
  <c r="C25" i="10" s="1"/>
  <c r="L341" i="1"/>
  <c r="L342" i="1"/>
  <c r="L255" i="1"/>
  <c r="C130" i="2" s="1"/>
  <c r="L336" i="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C56" i="2" s="1"/>
  <c r="G60" i="1"/>
  <c r="D56" i="2" s="1"/>
  <c r="H60" i="1"/>
  <c r="E56" i="2" s="1"/>
  <c r="I60" i="1"/>
  <c r="F56" i="2" s="1"/>
  <c r="F79" i="1"/>
  <c r="C57" i="2" s="1"/>
  <c r="F94" i="1"/>
  <c r="C58" i="2" s="1"/>
  <c r="F111" i="1"/>
  <c r="G111" i="1"/>
  <c r="H79" i="1"/>
  <c r="E57" i="2" s="1"/>
  <c r="H94" i="1"/>
  <c r="E58" i="2" s="1"/>
  <c r="H111" i="1"/>
  <c r="I111" i="1"/>
  <c r="I112" i="1" s="1"/>
  <c r="J111" i="1"/>
  <c r="J112" i="1" s="1"/>
  <c r="F121" i="1"/>
  <c r="F136" i="1"/>
  <c r="G121" i="1"/>
  <c r="G136" i="1"/>
  <c r="H121" i="1"/>
  <c r="H136" i="1"/>
  <c r="I121" i="1"/>
  <c r="I136" i="1"/>
  <c r="J121" i="1"/>
  <c r="J136" i="1"/>
  <c r="F147" i="1"/>
  <c r="C85" i="2" s="1"/>
  <c r="F162" i="1"/>
  <c r="G147" i="1"/>
  <c r="D85" i="2" s="1"/>
  <c r="G162" i="1"/>
  <c r="H147" i="1"/>
  <c r="E85" i="2" s="1"/>
  <c r="H162" i="1"/>
  <c r="I147" i="1"/>
  <c r="F85" i="2" s="1"/>
  <c r="I162" i="1"/>
  <c r="C11" i="10"/>
  <c r="C12" i="10"/>
  <c r="L250" i="1"/>
  <c r="L332" i="1"/>
  <c r="L254" i="1"/>
  <c r="L268" i="1"/>
  <c r="L269" i="1"/>
  <c r="L349" i="1"/>
  <c r="L350" i="1"/>
  <c r="I665" i="1"/>
  <c r="I670" i="1"/>
  <c r="H661" i="1"/>
  <c r="H662" i="1"/>
  <c r="I669" i="1"/>
  <c r="C42" i="10"/>
  <c r="C32" i="10"/>
  <c r="L374" i="1"/>
  <c r="L375" i="1"/>
  <c r="L376" i="1"/>
  <c r="L377" i="1"/>
  <c r="L378" i="1"/>
  <c r="L379" i="1"/>
  <c r="L380" i="1"/>
  <c r="B2" i="10"/>
  <c r="L344" i="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3" i="2"/>
  <c r="E113" i="2"/>
  <c r="C114" i="2"/>
  <c r="D115" i="2"/>
  <c r="F115" i="2"/>
  <c r="G115" i="2"/>
  <c r="C119" i="2"/>
  <c r="E124" i="2"/>
  <c r="C125" i="2"/>
  <c r="E125" i="2"/>
  <c r="D127" i="2"/>
  <c r="D128" i="2" s="1"/>
  <c r="F128" i="2"/>
  <c r="G128" i="2"/>
  <c r="E130" i="2"/>
  <c r="F130" i="2"/>
  <c r="D134" i="2"/>
  <c r="D144" i="2" s="1"/>
  <c r="E134" i="2"/>
  <c r="F134" i="2"/>
  <c r="K419" i="1"/>
  <c r="K427" i="1"/>
  <c r="K433" i="1"/>
  <c r="L263" i="1"/>
  <c r="C135" i="2" s="1"/>
  <c r="E135" i="2"/>
  <c r="L264" i="1"/>
  <c r="C136" i="2" s="1"/>
  <c r="L265" i="1"/>
  <c r="C137" i="2" s="1"/>
  <c r="E137" i="2"/>
  <c r="C142" i="2"/>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G156" i="2" s="1"/>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G32" i="1"/>
  <c r="H32" i="1"/>
  <c r="I32" i="1"/>
  <c r="H617" i="1"/>
  <c r="G52" i="1"/>
  <c r="H618" i="1" s="1"/>
  <c r="H51" i="1"/>
  <c r="I51" i="1"/>
  <c r="I52" i="1" s="1"/>
  <c r="H620" i="1" s="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I369" i="1"/>
  <c r="H634" i="1" s="1"/>
  <c r="L381" i="1"/>
  <c r="L382" i="1" s="1"/>
  <c r="G636" i="1" s="1"/>
  <c r="F382" i="1"/>
  <c r="G382" i="1"/>
  <c r="H382" i="1"/>
  <c r="I382" i="1"/>
  <c r="J382" i="1"/>
  <c r="K382" i="1"/>
  <c r="F393" i="1"/>
  <c r="G393" i="1"/>
  <c r="H393" i="1"/>
  <c r="I393" i="1"/>
  <c r="F401" i="1"/>
  <c r="G401" i="1"/>
  <c r="H401" i="1"/>
  <c r="I401" i="1"/>
  <c r="F407" i="1"/>
  <c r="F408" i="1" s="1"/>
  <c r="H643" i="1" s="1"/>
  <c r="G407" i="1"/>
  <c r="H407" i="1"/>
  <c r="I407" i="1"/>
  <c r="G408" i="1"/>
  <c r="H645" i="1" s="1"/>
  <c r="H408" i="1"/>
  <c r="H644" i="1" s="1"/>
  <c r="I408" i="1"/>
  <c r="L413" i="1"/>
  <c r="L414" i="1"/>
  <c r="L415" i="1"/>
  <c r="L416" i="1"/>
  <c r="L417" i="1"/>
  <c r="L418" i="1"/>
  <c r="F419" i="1"/>
  <c r="G419" i="1"/>
  <c r="H419" i="1"/>
  <c r="I419" i="1"/>
  <c r="J419" i="1"/>
  <c r="L421" i="1"/>
  <c r="L422" i="1"/>
  <c r="L427" i="1" s="1"/>
  <c r="L423" i="1"/>
  <c r="L424" i="1"/>
  <c r="L425" i="1"/>
  <c r="L426" i="1"/>
  <c r="F427" i="1"/>
  <c r="G427" i="1"/>
  <c r="H427" i="1"/>
  <c r="I427" i="1"/>
  <c r="J427" i="1"/>
  <c r="L429" i="1"/>
  <c r="L430" i="1"/>
  <c r="L431" i="1"/>
  <c r="L432" i="1"/>
  <c r="F433" i="1"/>
  <c r="G433" i="1"/>
  <c r="H433" i="1"/>
  <c r="I433" i="1"/>
  <c r="J433" i="1"/>
  <c r="F446" i="1"/>
  <c r="G446" i="1"/>
  <c r="G640" i="1" s="1"/>
  <c r="H446" i="1"/>
  <c r="F452" i="1"/>
  <c r="G452" i="1"/>
  <c r="H452" i="1"/>
  <c r="F460" i="1"/>
  <c r="G460" i="1"/>
  <c r="H460" i="1"/>
  <c r="F461" i="1"/>
  <c r="G461" i="1"/>
  <c r="H640" i="1" s="1"/>
  <c r="F470" i="1"/>
  <c r="G470" i="1"/>
  <c r="H470" i="1"/>
  <c r="I470" i="1"/>
  <c r="J470" i="1"/>
  <c r="F474" i="1"/>
  <c r="G474" i="1"/>
  <c r="G476" i="1" s="1"/>
  <c r="H623" i="1" s="1"/>
  <c r="H474" i="1"/>
  <c r="I474" i="1"/>
  <c r="J474" i="1"/>
  <c r="K495" i="1"/>
  <c r="K496" i="1"/>
  <c r="K497" i="1"/>
  <c r="K498" i="1"/>
  <c r="K499" i="1"/>
  <c r="K501" i="1"/>
  <c r="K502" i="1"/>
  <c r="F517" i="1"/>
  <c r="G517" i="1"/>
  <c r="H517" i="1"/>
  <c r="I517" i="1"/>
  <c r="F524" i="1"/>
  <c r="G524" i="1"/>
  <c r="H524" i="1"/>
  <c r="I524" i="1"/>
  <c r="J524" i="1"/>
  <c r="K524" i="1"/>
  <c r="L524" i="1"/>
  <c r="F529" i="1"/>
  <c r="G529" i="1"/>
  <c r="H529" i="1"/>
  <c r="I529" i="1"/>
  <c r="J529" i="1"/>
  <c r="K529" i="1"/>
  <c r="L529" i="1"/>
  <c r="F534" i="1"/>
  <c r="G534" i="1"/>
  <c r="H534" i="1"/>
  <c r="I534" i="1"/>
  <c r="J534" i="1"/>
  <c r="K534" i="1"/>
  <c r="L534" i="1"/>
  <c r="F539" i="1"/>
  <c r="G539" i="1"/>
  <c r="H539" i="1"/>
  <c r="I539" i="1"/>
  <c r="J539" i="1"/>
  <c r="K539" i="1"/>
  <c r="F544" i="1"/>
  <c r="G544" i="1"/>
  <c r="H544" i="1"/>
  <c r="I544" i="1"/>
  <c r="J544" i="1"/>
  <c r="K544" i="1"/>
  <c r="L557" i="1"/>
  <c r="L560" i="1" s="1"/>
  <c r="L558" i="1"/>
  <c r="L559" i="1"/>
  <c r="F560" i="1"/>
  <c r="G560" i="1"/>
  <c r="H560" i="1"/>
  <c r="I560" i="1"/>
  <c r="J560" i="1"/>
  <c r="K560" i="1"/>
  <c r="L562" i="1"/>
  <c r="L563" i="1"/>
  <c r="L564" i="1"/>
  <c r="F565" i="1"/>
  <c r="G565" i="1"/>
  <c r="H565" i="1"/>
  <c r="I565" i="1"/>
  <c r="J565" i="1"/>
  <c r="K565" i="1"/>
  <c r="L567" i="1"/>
  <c r="L568" i="1"/>
  <c r="L569" i="1"/>
  <c r="L570" i="1" s="1"/>
  <c r="F570" i="1"/>
  <c r="G570" i="1"/>
  <c r="H570" i="1"/>
  <c r="H571" i="1" s="1"/>
  <c r="I570" i="1"/>
  <c r="I571" i="1" s="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2" i="1"/>
  <c r="G623" i="1"/>
  <c r="H627" i="1"/>
  <c r="H628" i="1"/>
  <c r="H629" i="1"/>
  <c r="H630" i="1"/>
  <c r="H631" i="1"/>
  <c r="H632" i="1"/>
  <c r="H633" i="1"/>
  <c r="H635" i="1"/>
  <c r="H636" i="1"/>
  <c r="H637" i="1"/>
  <c r="H638" i="1"/>
  <c r="G639" i="1"/>
  <c r="H639" i="1"/>
  <c r="G641" i="1"/>
  <c r="G643" i="1"/>
  <c r="G644" i="1"/>
  <c r="G651" i="1"/>
  <c r="G652" i="1"/>
  <c r="H652" i="1"/>
  <c r="G653" i="1"/>
  <c r="H653" i="1"/>
  <c r="G654" i="1"/>
  <c r="H654" i="1"/>
  <c r="H655" i="1"/>
  <c r="J655" i="1" s="1"/>
  <c r="L328" i="1"/>
  <c r="L351" i="1"/>
  <c r="G62" i="2"/>
  <c r="J140" i="1"/>
  <c r="G22" i="2"/>
  <c r="H552" i="1"/>
  <c r="H140" i="1"/>
  <c r="L393" i="1"/>
  <c r="C138" i="2" s="1"/>
  <c r="G22" i="13"/>
  <c r="C22" i="13" s="1"/>
  <c r="I25" i="13"/>
  <c r="C25" i="13" s="1"/>
  <c r="J651" i="1"/>
  <c r="F552" i="1"/>
  <c r="G36" i="2"/>
  <c r="K551" i="1"/>
  <c r="E122" i="2" l="1"/>
  <c r="E118" i="2"/>
  <c r="L211" i="1"/>
  <c r="J639" i="1"/>
  <c r="H461" i="1"/>
  <c r="H641" i="1" s="1"/>
  <c r="J641" i="1" s="1"/>
  <c r="G161" i="2"/>
  <c r="L270" i="1"/>
  <c r="C26" i="10"/>
  <c r="C18" i="10"/>
  <c r="C13" i="10"/>
  <c r="J643" i="1"/>
  <c r="K571" i="1"/>
  <c r="G545" i="1"/>
  <c r="J545" i="1"/>
  <c r="D81" i="2"/>
  <c r="D50" i="2"/>
  <c r="E114" i="2"/>
  <c r="E120" i="2"/>
  <c r="L433" i="1"/>
  <c r="L419" i="1"/>
  <c r="E123" i="2"/>
  <c r="E119" i="2"/>
  <c r="D17" i="13"/>
  <c r="G662" i="1"/>
  <c r="K503" i="1"/>
  <c r="G164" i="2"/>
  <c r="G157" i="2"/>
  <c r="L565" i="1"/>
  <c r="H545" i="1"/>
  <c r="I460" i="1"/>
  <c r="F661" i="1"/>
  <c r="L309" i="1"/>
  <c r="E121" i="2"/>
  <c r="L290" i="1"/>
  <c r="C17" i="10"/>
  <c r="C15" i="10"/>
  <c r="E112" i="2"/>
  <c r="E111" i="2"/>
  <c r="E110" i="2"/>
  <c r="E109" i="2"/>
  <c r="F338" i="1"/>
  <c r="F352" i="1" s="1"/>
  <c r="C132" i="2"/>
  <c r="C29" i="10"/>
  <c r="C120" i="2"/>
  <c r="H192" i="1"/>
  <c r="H169" i="1"/>
  <c r="F169" i="1"/>
  <c r="F18" i="2"/>
  <c r="J623" i="1"/>
  <c r="J257" i="1"/>
  <c r="J271" i="1" s="1"/>
  <c r="I257" i="1"/>
  <c r="I271" i="1" s="1"/>
  <c r="H257" i="1"/>
  <c r="H271" i="1" s="1"/>
  <c r="G650" i="1"/>
  <c r="C21" i="10"/>
  <c r="C19" i="10"/>
  <c r="C121" i="2"/>
  <c r="E8" i="13"/>
  <c r="C8" i="13" s="1"/>
  <c r="C112" i="2"/>
  <c r="C111" i="2"/>
  <c r="C110" i="2"/>
  <c r="E143" i="2"/>
  <c r="G645" i="1"/>
  <c r="J645" i="1" s="1"/>
  <c r="J644" i="1"/>
  <c r="E78" i="2"/>
  <c r="E81" i="2" s="1"/>
  <c r="G192" i="1"/>
  <c r="D62" i="2"/>
  <c r="D63" i="2" s="1"/>
  <c r="C70" i="2"/>
  <c r="A40" i="12"/>
  <c r="A13" i="12"/>
  <c r="K598" i="1"/>
  <c r="G647" i="1" s="1"/>
  <c r="L614" i="1"/>
  <c r="K605" i="1"/>
  <c r="G648" i="1" s="1"/>
  <c r="J571" i="1"/>
  <c r="F571" i="1"/>
  <c r="K545" i="1"/>
  <c r="I545" i="1"/>
  <c r="J552" i="1"/>
  <c r="L544" i="1"/>
  <c r="I552" i="1"/>
  <c r="K550" i="1"/>
  <c r="L539" i="1"/>
  <c r="L545" i="1" s="1"/>
  <c r="G552" i="1"/>
  <c r="K549" i="1"/>
  <c r="J476" i="1"/>
  <c r="H626" i="1" s="1"/>
  <c r="J636" i="1"/>
  <c r="I476" i="1"/>
  <c r="H625" i="1" s="1"/>
  <c r="H476" i="1"/>
  <c r="H624" i="1" s="1"/>
  <c r="F476" i="1"/>
  <c r="H622" i="1" s="1"/>
  <c r="J622" i="1" s="1"/>
  <c r="J640" i="1"/>
  <c r="I452" i="1"/>
  <c r="I461" i="1" s="1"/>
  <c r="H642" i="1" s="1"/>
  <c r="I446" i="1"/>
  <c r="G642" i="1" s="1"/>
  <c r="L401" i="1"/>
  <c r="C139" i="2" s="1"/>
  <c r="I661" i="1"/>
  <c r="J634" i="1"/>
  <c r="K338" i="1"/>
  <c r="K352" i="1" s="1"/>
  <c r="J338" i="1"/>
  <c r="J352" i="1" s="1"/>
  <c r="G338" i="1"/>
  <c r="G352" i="1" s="1"/>
  <c r="C20" i="10"/>
  <c r="E115" i="2"/>
  <c r="K257" i="1"/>
  <c r="K271" i="1" s="1"/>
  <c r="E16" i="13"/>
  <c r="C16" i="13" s="1"/>
  <c r="D7" i="13"/>
  <c r="C7" i="13" s="1"/>
  <c r="L256" i="1"/>
  <c r="F662" i="1"/>
  <c r="I662" i="1" s="1"/>
  <c r="C118" i="2"/>
  <c r="A31" i="12"/>
  <c r="G649" i="1"/>
  <c r="J649" i="1" s="1"/>
  <c r="C124" i="2"/>
  <c r="H647" i="1"/>
  <c r="C123" i="2"/>
  <c r="C122" i="2"/>
  <c r="F257" i="1"/>
  <c r="F271" i="1" s="1"/>
  <c r="I169" i="1"/>
  <c r="F78" i="2"/>
  <c r="F81" i="2" s="1"/>
  <c r="E103" i="2"/>
  <c r="E62" i="2"/>
  <c r="E63" i="2" s="1"/>
  <c r="H112" i="1"/>
  <c r="C35" i="10"/>
  <c r="D91" i="2"/>
  <c r="F192" i="1"/>
  <c r="C91" i="2"/>
  <c r="C78" i="2"/>
  <c r="F112" i="1"/>
  <c r="G625" i="1"/>
  <c r="H52" i="1"/>
  <c r="H619" i="1" s="1"/>
  <c r="J619" i="1" s="1"/>
  <c r="E31" i="2"/>
  <c r="D31" i="2"/>
  <c r="D51" i="2" s="1"/>
  <c r="D18" i="2"/>
  <c r="J617" i="1"/>
  <c r="C18" i="2"/>
  <c r="E128" i="2"/>
  <c r="G81" i="2"/>
  <c r="C62" i="2"/>
  <c r="C63" i="2" s="1"/>
  <c r="L362" i="1"/>
  <c r="C27" i="10" s="1"/>
  <c r="D18" i="13"/>
  <c r="C18" i="13" s="1"/>
  <c r="C17" i="13"/>
  <c r="D15" i="13"/>
  <c r="C15" i="13" s="1"/>
  <c r="D6" i="13"/>
  <c r="C6" i="13" s="1"/>
  <c r="E13" i="13"/>
  <c r="C13" i="13" s="1"/>
  <c r="K552" i="1"/>
  <c r="G624" i="1"/>
  <c r="K500" i="1"/>
  <c r="H338" i="1"/>
  <c r="H352" i="1" s="1"/>
  <c r="D145" i="2"/>
  <c r="G112" i="1"/>
  <c r="D19" i="13"/>
  <c r="C19" i="13" s="1"/>
  <c r="D14" i="13"/>
  <c r="C14" i="13" s="1"/>
  <c r="D29" i="13"/>
  <c r="C29" i="13" s="1"/>
  <c r="D12" i="13"/>
  <c r="C12" i="13" s="1"/>
  <c r="D5" i="13"/>
  <c r="C5" i="13" s="1"/>
  <c r="G257" i="1"/>
  <c r="G271" i="1" s="1"/>
  <c r="I33" i="13"/>
  <c r="C16" i="10"/>
  <c r="H660" i="1"/>
  <c r="H664" i="1" s="1"/>
  <c r="H667" i="1" s="1"/>
  <c r="G36" i="14"/>
  <c r="H36" i="14" s="1"/>
  <c r="I36" i="14" s="1"/>
  <c r="C10" i="10"/>
  <c r="C109" i="2"/>
  <c r="C115" i="2" s="1"/>
  <c r="L229" i="1"/>
  <c r="G24" i="14" s="1"/>
  <c r="G4" i="14"/>
  <c r="H4" i="14" s="1"/>
  <c r="I4" i="14" s="1"/>
  <c r="F660" i="1"/>
  <c r="L337" i="1"/>
  <c r="L338" i="1" s="1"/>
  <c r="L352" i="1" s="1"/>
  <c r="G633" i="1" s="1"/>
  <c r="J633" i="1" s="1"/>
  <c r="F62" i="2"/>
  <c r="F63" i="2" s="1"/>
  <c r="C23" i="10"/>
  <c r="G163" i="2"/>
  <c r="G162" i="2"/>
  <c r="G160" i="2"/>
  <c r="G159" i="2"/>
  <c r="G158" i="2"/>
  <c r="G103" i="2"/>
  <c r="F103" i="2"/>
  <c r="C103" i="2"/>
  <c r="F91" i="2"/>
  <c r="E50" i="2"/>
  <c r="C50" i="2"/>
  <c r="F31" i="2"/>
  <c r="C31" i="2"/>
  <c r="E18" i="2"/>
  <c r="E144" i="2"/>
  <c r="F50" i="2"/>
  <c r="F51" i="2" s="1"/>
  <c r="C24" i="10"/>
  <c r="H31" i="13"/>
  <c r="H33" i="13" s="1"/>
  <c r="I338" i="1"/>
  <c r="I352" i="1" s="1"/>
  <c r="J650" i="1"/>
  <c r="L407" i="1"/>
  <c r="C140" i="2" s="1"/>
  <c r="L571" i="1"/>
  <c r="I192" i="1"/>
  <c r="E91" i="2"/>
  <c r="J654" i="1"/>
  <c r="J653" i="1"/>
  <c r="F144" i="2"/>
  <c r="F145" i="2" s="1"/>
  <c r="G21" i="2"/>
  <c r="G31" i="2" s="1"/>
  <c r="J32" i="1"/>
  <c r="L434" i="1"/>
  <c r="G638" i="1" s="1"/>
  <c r="J638" i="1" s="1"/>
  <c r="J434" i="1"/>
  <c r="F434" i="1"/>
  <c r="K434" i="1"/>
  <c r="G134" i="2" s="1"/>
  <c r="G144" i="2" s="1"/>
  <c r="G145" i="2" s="1"/>
  <c r="G31" i="13"/>
  <c r="G33" i="13" s="1"/>
  <c r="J193" i="1"/>
  <c r="G646" i="1" s="1"/>
  <c r="G169" i="1"/>
  <c r="G140" i="1"/>
  <c r="F140" i="1"/>
  <c r="G63" i="2"/>
  <c r="J618" i="1"/>
  <c r="G42" i="2"/>
  <c r="J51" i="1"/>
  <c r="G16" i="2"/>
  <c r="G18" i="2" s="1"/>
  <c r="J19" i="1"/>
  <c r="G621" i="1" s="1"/>
  <c r="F545" i="1"/>
  <c r="H434" i="1"/>
  <c r="J620" i="1"/>
  <c r="D103" i="2"/>
  <c r="I140" i="1"/>
  <c r="A22" i="12"/>
  <c r="G50" i="2"/>
  <c r="H648" i="1"/>
  <c r="J652" i="1"/>
  <c r="J642" i="1"/>
  <c r="G571" i="1"/>
  <c r="I434" i="1"/>
  <c r="G434" i="1"/>
  <c r="I663" i="1"/>
  <c r="J625" i="1" l="1"/>
  <c r="C81" i="2"/>
  <c r="J624" i="1"/>
  <c r="J647" i="1"/>
  <c r="L408" i="1"/>
  <c r="C141" i="2"/>
  <c r="C144" i="2" s="1"/>
  <c r="F664" i="1"/>
  <c r="F667" i="1" s="1"/>
  <c r="I193" i="1"/>
  <c r="G630" i="1" s="1"/>
  <c r="J630" i="1" s="1"/>
  <c r="H193" i="1"/>
  <c r="G629" i="1" s="1"/>
  <c r="J629" i="1" s="1"/>
  <c r="D104" i="2"/>
  <c r="E51" i="2"/>
  <c r="J648" i="1"/>
  <c r="C39" i="10"/>
  <c r="F193" i="1"/>
  <c r="G627" i="1" s="1"/>
  <c r="J627" i="1" s="1"/>
  <c r="C36" i="10"/>
  <c r="E104" i="2"/>
  <c r="G51" i="2"/>
  <c r="E145" i="2"/>
  <c r="G635" i="1"/>
  <c r="J635" i="1" s="1"/>
  <c r="G660" i="1"/>
  <c r="G664" i="1" s="1"/>
  <c r="G672" i="1" s="1"/>
  <c r="C5" i="10" s="1"/>
  <c r="L257" i="1"/>
  <c r="L271" i="1" s="1"/>
  <c r="G632" i="1" s="1"/>
  <c r="J632" i="1" s="1"/>
  <c r="C128" i="2"/>
  <c r="E33" i="13"/>
  <c r="D35" i="13" s="1"/>
  <c r="G104" i="2"/>
  <c r="F104" i="2"/>
  <c r="H672" i="1"/>
  <c r="C6" i="10" s="1"/>
  <c r="C104" i="2"/>
  <c r="D31" i="13"/>
  <c r="C31" i="13" s="1"/>
  <c r="C28" i="10"/>
  <c r="D23" i="10" s="1"/>
  <c r="H24" i="14"/>
  <c r="I24" i="14" s="1"/>
  <c r="C51" i="2"/>
  <c r="G631" i="1"/>
  <c r="J631" i="1" s="1"/>
  <c r="G193" i="1"/>
  <c r="G628" i="1" s="1"/>
  <c r="J628" i="1" s="1"/>
  <c r="G626" i="1"/>
  <c r="J626" i="1" s="1"/>
  <c r="J52" i="1"/>
  <c r="H621" i="1" s="1"/>
  <c r="J621" i="1" s="1"/>
  <c r="C38" i="10"/>
  <c r="F672" i="1" l="1"/>
  <c r="C4" i="10" s="1"/>
  <c r="C145" i="2"/>
  <c r="G637" i="1"/>
  <c r="J637" i="1" s="1"/>
  <c r="H646" i="1"/>
  <c r="J646" i="1" s="1"/>
  <c r="I660" i="1"/>
  <c r="I664" i="1" s="1"/>
  <c r="I672" i="1" s="1"/>
  <c r="C7" i="10" s="1"/>
  <c r="G667" i="1"/>
  <c r="D25" i="10"/>
  <c r="D22" i="10"/>
  <c r="D18" i="10"/>
  <c r="D27" i="10"/>
  <c r="D15" i="10"/>
  <c r="D21" i="10"/>
  <c r="D24" i="10"/>
  <c r="D20" i="10"/>
  <c r="D11" i="10"/>
  <c r="D12" i="10"/>
  <c r="D13" i="10"/>
  <c r="D17" i="10"/>
  <c r="D19" i="10"/>
  <c r="D10" i="10"/>
  <c r="D26" i="10"/>
  <c r="C30" i="10"/>
  <c r="D16" i="10"/>
  <c r="D33" i="13"/>
  <c r="D36" i="13" s="1"/>
  <c r="C41" i="10"/>
  <c r="D38" i="10" s="1"/>
  <c r="I667" i="1" l="1"/>
  <c r="H656"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<sst xmlns="http://schemas.openxmlformats.org/spreadsheetml/2006/main" count="5509" uniqueCount="1617">
  <si>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</si>
  <si>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</si>
  <si>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</si>
  <si>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</si>
  <si>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</si>
  <si>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</si>
  <si>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</si>
  <si>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</si>
  <si>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</si>
  <si>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</si>
  <si>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</si>
  <si>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</si>
  <si>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</si>
  <si>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</si>
  <si>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</si>
  <si>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</si>
  <si>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</si>
  <si>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</si>
  <si>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</si>
  <si>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</si>
  <si>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</si>
  <si>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</si>
  <si>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</si>
  <si>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</si>
  <si>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</si>
  <si>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</si>
  <si>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</si>
  <si>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</si>
  <si>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</si>
  <si>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</si>
  <si>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</si>
  <si>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</si>
  <si>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</si>
  <si>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</si>
  <si>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</si>
  <si>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</si>
  <si>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</si>
  <si>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</si>
  <si>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</si>
  <si>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</si>
  <si>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</si>
  <si>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</si>
  <si>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</si>
  <si>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</si>
  <si>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</si>
  <si>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</si>
  <si>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</si>
  <si>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</si>
  <si>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</si>
  <si>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</si>
  <si>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</si>
  <si>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</si>
  <si>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</si>
  <si>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</si>
  <si>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</si>
  <si>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</si>
  <si>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</si>
  <si>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</si>
  <si>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</si>
  <si>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</si>
  <si>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</si>
  <si>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</si>
  <si>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</si>
  <si>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</si>
  <si>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</si>
  <si>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</si>
  <si>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</si>
  <si>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</si>
  <si>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</si>
  <si>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</si>
  <si>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</si>
  <si>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</si>
  <si>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</si>
  <si>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</si>
  <si>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</si>
  <si>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</si>
  <si>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</si>
  <si>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</si>
  <si>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</si>
  <si>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</si>
  <si>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</si>
  <si>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</si>
  <si>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</si>
  <si>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</si>
  <si>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</si>
  <si>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</si>
  <si>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</si>
  <si>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</si>
  <si>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</si>
  <si>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</si>
  <si>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</si>
  <si>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</si>
  <si>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</si>
  <si>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</si>
  <si>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</si>
  <si>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</si>
  <si>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</si>
  <si>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</si>
  <si>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</si>
  <si>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</si>
  <si>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</si>
  <si>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</si>
  <si>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</si>
  <si>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</si>
  <si>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</si>
  <si>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</si>
  <si>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</si>
  <si>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</si>
  <si>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</si>
  <si>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</si>
  <si>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</si>
  <si>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</si>
  <si>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</si>
  <si>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</si>
  <si>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</si>
  <si>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</si>
  <si>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</si>
  <si>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</si>
  <si>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</si>
  <si>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</si>
  <si>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</si>
  <si>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</si>
  <si>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</si>
  <si>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</si>
  <si>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</si>
  <si>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</si>
  <si>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</si>
  <si>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</si>
  <si>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</si>
  <si>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</si>
  <si>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</si>
  <si>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</si>
  <si>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</si>
  <si>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</si>
  <si>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</si>
  <si>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</si>
  <si>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</si>
  <si>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</si>
  <si>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</si>
  <si>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</si>
  <si>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</si>
  <si>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</si>
  <si>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</si>
  <si>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</si>
  <si>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</si>
  <si>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</si>
  <si>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</si>
  <si>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</si>
  <si>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</si>
  <si>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</si>
  <si>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</si>
  <si>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</si>
  <si>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</si>
  <si>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</si>
  <si>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</si>
  <si>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</si>
  <si>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</si>
  <si>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</si>
  <si>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</si>
  <si>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</si>
  <si>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</si>
  <si>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</si>
  <si>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</si>
  <si>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</si>
  <si>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</si>
  <si>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</si>
  <si>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</si>
  <si>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</si>
  <si>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</si>
  <si>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</si>
  <si>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</si>
  <si>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</si>
  <si>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</si>
  <si>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</si>
  <si>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</si>
  <si>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</si>
  <si>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</si>
  <si>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</si>
  <si>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</si>
  <si>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</si>
  <si>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</si>
  <si>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</si>
  <si>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</si>
  <si>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</si>
  <si>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</si>
  <si>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</si>
  <si>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</si>
  <si>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</si>
  <si>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</si>
  <si>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</si>
  <si>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</si>
  <si>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</si>
  <si>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</si>
  <si>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</si>
  <si>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</si>
  <si>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</si>
  <si>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</si>
  <si>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</si>
  <si>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</si>
  <si>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</si>
  <si>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</si>
  <si>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</si>
  <si>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</si>
  <si>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</si>
  <si>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</si>
  <si>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</si>
  <si>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</si>
  <si>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</si>
  <si>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</si>
  <si>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</si>
  <si>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</si>
  <si>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</si>
  <si>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</si>
  <si>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</si>
  <si>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</si>
  <si>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</si>
  <si>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</si>
  <si>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</si>
  <si>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</si>
  <si>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</si>
  <si>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</si>
  <si>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</si>
  <si>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</si>
  <si>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</si>
  <si>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</si>
  <si>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</si>
  <si>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</si>
  <si>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</si>
  <si>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</si>
  <si>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</si>
  <si>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</si>
  <si>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</si>
  <si>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</si>
  <si>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</si>
  <si>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</si>
  <si>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</si>
  <si>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</si>
  <si>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</si>
  <si>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</si>
  <si>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</si>
  <si>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</si>
  <si>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</si>
  <si>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</si>
  <si>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</si>
  <si>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</si>
  <si>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</si>
  <si>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</si>
  <si>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</si>
  <si>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</si>
  <si>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</si>
  <si>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</si>
  <si>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</si>
  <si>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</si>
  <si>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</si>
  <si>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</si>
  <si>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</si>
  <si>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</si>
  <si>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</si>
  <si>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</si>
  <si>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</si>
  <si>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</si>
  <si>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</si>
  <si>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</si>
  <si>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</si>
  <si>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</si>
  <si>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</si>
  <si>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</si>
  <si>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</si>
  <si>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</si>
  <si>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</si>
  <si>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</si>
  <si>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</si>
  <si>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</si>
  <si>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</si>
  <si>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</si>
  <si>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</si>
  <si>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</si>
  <si>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</si>
  <si>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</si>
  <si>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</si>
  <si>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</si>
  <si>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</si>
  <si>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</si>
  <si>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</si>
  <si>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</si>
  <si>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</si>
  <si>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</si>
  <si>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</si>
  <si>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</si>
  <si>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</si>
  <si>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</si>
  <si>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</si>
  <si>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</si>
  <si>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</si>
  <si>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</si>
  <si>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</si>
  <si>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</si>
  <si>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</si>
  <si>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</si>
  <si>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</si>
  <si>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</si>
  <si>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</si>
  <si>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</si>
  <si>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</si>
  <si>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</si>
  <si>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</si>
  <si>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</si>
  <si>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</si>
  <si>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</si>
  <si>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</si>
  <si>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</si>
  <si>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</si>
  <si>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</si>
  <si>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</si>
  <si>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</si>
  <si>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</si>
  <si>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</si>
  <si>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</si>
  <si>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</si>
  <si>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</si>
  <si>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</si>
  <si>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</si>
  <si>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</si>
  <si>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</si>
  <si>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</si>
  <si>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</si>
  <si>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</si>
  <si>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</si>
  <si>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</si>
  <si>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</si>
  <si>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</si>
  <si>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</si>
  <si>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</si>
  <si>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</si>
  <si>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</si>
  <si>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</si>
  <si>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</si>
  <si>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</si>
  <si>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</si>
  <si>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</si>
  <si>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</si>
  <si>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</si>
  <si>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</si>
  <si>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</si>
  <si>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</si>
  <si>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</si>
  <si>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</si>
  <si>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</si>
  <si>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</si>
  <si>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</si>
  <si>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</si>
  <si>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</si>
  <si>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</si>
  <si>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</si>
  <si>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</si>
  <si>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</si>
  <si>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</si>
  <si>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</si>
  <si>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</si>
  <si>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</si>
  <si>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</si>
  <si>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</si>
  <si>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</si>
  <si>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</si>
  <si>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</si>
  <si>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</si>
  <si>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</si>
  <si>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</si>
  <si>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</si>
  <si>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</si>
  <si>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</si>
  <si>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</si>
  <si>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</si>
  <si>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</si>
  <si>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</si>
  <si>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</si>
  <si>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</si>
  <si>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</si>
  <si>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</si>
  <si>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</si>
  <si>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</si>
  <si>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</si>
  <si>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</si>
  <si>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</si>
  <si>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</si>
  <si>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</si>
  <si>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</si>
  <si>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</si>
  <si>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</si>
  <si>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</si>
  <si>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</si>
  <si>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</si>
  <si>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</si>
  <si>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</si>
  <si>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</si>
  <si>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</si>
  <si>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</si>
  <si>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</si>
  <si>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</si>
  <si>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</si>
  <si>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</si>
  <si>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</si>
  <si>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</si>
  <si>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</si>
  <si>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</si>
  <si>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</si>
  <si>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</si>
  <si>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</si>
  <si>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</si>
  <si>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</si>
  <si>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</si>
  <si>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</si>
  <si>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</si>
  <si>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</si>
  <si>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</si>
  <si>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</si>
  <si>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</si>
  <si>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</si>
  <si>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</si>
  <si>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</si>
  <si>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</si>
  <si>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</si>
  <si>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</si>
  <si>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</si>
  <si>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</si>
  <si>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</si>
  <si>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</si>
  <si>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</si>
  <si>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</si>
  <si>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</si>
  <si>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</si>
  <si>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</si>
  <si>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</si>
  <si>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</si>
  <si>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</si>
  <si>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</si>
  <si>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</si>
  <si>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</si>
  <si>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</si>
  <si>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</si>
  <si>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</si>
  <si>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</si>
  <si>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</si>
  <si>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</si>
  <si>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</si>
  <si>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</si>
  <si>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</si>
  <si>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</si>
  <si>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</si>
  <si>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</si>
  <si>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</si>
  <si>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</si>
  <si>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</si>
  <si>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</si>
  <si>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</si>
  <si>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</si>
  <si>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</si>
  <si>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</si>
  <si>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</si>
  <si>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</si>
  <si>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</si>
  <si>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</si>
  <si>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</si>
  <si>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</si>
  <si>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</si>
  <si>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</si>
  <si>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</si>
  <si>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</si>
  <si>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</si>
  <si>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</si>
  <si>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</si>
  <si>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</si>
  <si>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</si>
  <si>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</si>
  <si>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</si>
  <si>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</si>
  <si>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</si>
  <si>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</si>
  <si>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</si>
  <si>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</si>
  <si>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</si>
  <si>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</si>
  <si>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</si>
  <si>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</si>
  <si>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</si>
  <si>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</si>
  <si>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</si>
  <si>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</si>
  <si>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</si>
  <si>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</si>
  <si>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</si>
  <si>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</si>
  <si>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</si>
  <si>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</si>
  <si>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</si>
  <si>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</si>
  <si>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</si>
  <si>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</si>
  <si>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</si>
  <si>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</si>
  <si>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</si>
  <si>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</si>
  <si>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</si>
  <si>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</si>
  <si>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</si>
  <si>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</si>
  <si>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</si>
  <si>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</si>
  <si>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</si>
  <si>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</si>
  <si>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</si>
  <si>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</si>
  <si>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</si>
  <si>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</si>
  <si>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</si>
  <si>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</si>
  <si>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</si>
  <si>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</si>
  <si>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</si>
  <si>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</si>
  <si>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</si>
  <si>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</si>
  <si>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</si>
  <si>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</si>
  <si>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</si>
  <si>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</si>
  <si>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</si>
  <si>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</si>
  <si>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</si>
  <si>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</si>
  <si>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</si>
  <si>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</si>
  <si>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</si>
  <si>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</si>
  <si>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</si>
  <si>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</si>
  <si>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</si>
  <si>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</si>
  <si>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</si>
  <si>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</si>
  <si>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</si>
  <si>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</si>
  <si>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</si>
  <si>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</si>
  <si>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</si>
  <si>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</si>
  <si>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</si>
  <si>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</si>
  <si>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</si>
  <si>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</si>
  <si>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</si>
  <si>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</si>
  <si>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</si>
  <si>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</si>
  <si>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</si>
  <si>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</si>
  <si>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</si>
  <si>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</si>
  <si>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</si>
  <si>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</si>
  <si>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</si>
  <si>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</si>
  <si>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</si>
  <si>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</si>
  <si>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</si>
  <si>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</si>
  <si>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</si>
  <si>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</si>
  <si>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</si>
  <si>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</si>
  <si>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</si>
  <si>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</si>
  <si>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</si>
  <si>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</si>
  <si>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</si>
  <si>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</si>
  <si>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</si>
  <si>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</si>
  <si>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</si>
  <si>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</si>
  <si>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</si>
  <si>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</si>
  <si>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</si>
  <si>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</si>
  <si>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</si>
  <si>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</si>
  <si>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</si>
  <si>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</si>
  <si>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</si>
  <si>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</si>
  <si>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</si>
  <si>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</si>
  <si>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</si>
  <si>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</si>
  <si>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</si>
  <si>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</si>
  <si>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</si>
  <si>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</si>
  <si>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</si>
  <si>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</si>
  <si>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</si>
  <si>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</si>
  <si>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</si>
  <si>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</si>
  <si>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</si>
  <si>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</si>
  <si>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</si>
  <si>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</si>
  <si>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</si>
  <si>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</si>
  <si>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</si>
  <si>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</si>
  <si>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</si>
  <si>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</si>
  <si>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</si>
  <si>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</si>
  <si>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</si>
  <si>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</si>
  <si>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</si>
  <si>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</si>
  <si>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</si>
  <si>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</si>
  <si>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</si>
  <si>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</si>
  <si>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</si>
  <si>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</si>
  <si>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</si>
  <si>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</si>
  <si>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</si>
  <si>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</si>
  <si>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</si>
  <si>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</si>
  <si>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</si>
  <si>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</si>
  <si>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</si>
  <si>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</si>
  <si>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</si>
  <si>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</si>
  <si>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</si>
  <si>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</si>
  <si>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</si>
  <si>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</si>
  <si>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</si>
  <si>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</si>
  <si>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</si>
  <si>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</si>
  <si>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</si>
  <si>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</si>
  <si>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</si>
  <si>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</si>
  <si>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</si>
  <si>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</si>
  <si>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</si>
  <si>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</si>
  <si>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</si>
  <si>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</si>
  <si>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</si>
  <si>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</si>
  <si>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</si>
  <si>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</si>
  <si>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</si>
  <si>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</si>
  <si>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</si>
  <si>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</si>
  <si>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</si>
  <si>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</si>
  <si>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</si>
  <si>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</si>
  <si>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</si>
  <si>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</si>
  <si>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</si>
  <si>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</si>
  <si>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</si>
  <si>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</si>
  <si>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</si>
  <si>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</si>
  <si>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</si>
  <si>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</si>
  <si>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</si>
  <si>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</si>
  <si>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</si>
  <si>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</si>
  <si>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</si>
  <si>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</si>
  <si>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</si>
  <si>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</si>
  <si>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</si>
  <si>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</si>
  <si>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</si>
  <si>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</si>
  <si>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</si>
  <si>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</si>
  <si>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</si>
  <si>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</si>
  <si>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</si>
  <si>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</si>
  <si>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</si>
  <si>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</si>
  <si>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</si>
  <si>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</si>
  <si>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</si>
  <si>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</si>
  <si>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</si>
  <si>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</si>
  <si>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</si>
  <si>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</si>
  <si>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</si>
  <si>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</si>
  <si>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</si>
  <si>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</si>
  <si>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</si>
  <si>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</si>
  <si>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</si>
  <si>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</si>
  <si>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</si>
  <si>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</si>
  <si>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</si>
  <si>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</si>
  <si>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</si>
  <si>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</si>
  <si>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</si>
  <si>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</si>
  <si>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</si>
  <si>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</si>
  <si>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</si>
  <si>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</si>
  <si>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</si>
  <si>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</si>
  <si>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</si>
  <si>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</si>
  <si>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</si>
  <si>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</si>
  <si>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</si>
  <si>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</si>
  <si>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</si>
  <si>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</si>
  <si>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</si>
  <si>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</si>
  <si>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</si>
  <si>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</si>
  <si>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</si>
  <si>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</si>
  <si>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</si>
  <si>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</si>
  <si>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</si>
  <si>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</si>
  <si>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</si>
  <si>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</si>
  <si>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</si>
  <si>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</si>
  <si>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</si>
  <si>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</si>
  <si>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</si>
  <si>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</si>
  <si>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</si>
  <si>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</si>
  <si>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</si>
  <si>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</si>
  <si>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</si>
  <si>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</si>
  <si>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</si>
  <si>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</si>
  <si>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</si>
  <si>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</si>
  <si>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</si>
  <si>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</si>
  <si>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</si>
  <si>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</si>
  <si>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</si>
  <si>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</si>
  <si>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</si>
  <si>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</si>
  <si>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</si>
  <si>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</si>
  <si>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</si>
  <si>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</si>
  <si>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</si>
  <si>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</si>
  <si>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</si>
  <si>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</si>
  <si>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</si>
  <si>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</si>
  <si>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</si>
  <si>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</si>
  <si>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</si>
  <si>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</si>
  <si>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</si>
  <si>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</si>
  <si>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</si>
  <si>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</si>
  <si>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</si>
  <si>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</si>
  <si>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</si>
  <si>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</si>
  <si>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</si>
  <si>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</si>
  <si>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</si>
  <si>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</si>
  <si>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</si>
  <si>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</si>
  <si>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</si>
  <si>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</si>
  <si>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</si>
  <si>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</si>
  <si>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</si>
  <si>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</si>
  <si>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</si>
  <si>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</si>
  <si>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</si>
  <si>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</si>
  <si>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</si>
  <si>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</si>
  <si>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</si>
  <si>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</si>
  <si>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</si>
  <si>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</si>
  <si>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</si>
  <si>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</si>
  <si>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</si>
  <si>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</si>
  <si>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</si>
  <si>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</si>
  <si>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</si>
  <si>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</si>
  <si>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</si>
  <si>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</si>
  <si>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</si>
  <si>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</si>
  <si>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</si>
  <si>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</si>
  <si>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</si>
  <si>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</si>
  <si>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</si>
  <si>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</si>
  <si>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</si>
  <si>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</si>
  <si>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</si>
  <si>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</si>
  <si>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</si>
  <si>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</si>
  <si>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</si>
  <si>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</si>
  <si>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</si>
  <si>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</si>
  <si>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</si>
  <si>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</si>
  <si>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</si>
  <si>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</si>
  <si>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</si>
  <si>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</si>
  <si>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</si>
  <si>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</si>
  <si>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</si>
  <si>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</si>
  <si>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</si>
  <si>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</si>
  <si>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</si>
  <si>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</si>
  <si>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</si>
  <si>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</si>
  <si>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</si>
  <si>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</si>
  <si>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</si>
  <si>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</si>
  <si>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</si>
  <si>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</si>
  <si>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</si>
  <si>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</si>
  <si>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</si>
  <si>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</si>
  <si>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</si>
  <si>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</si>
  <si>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</si>
  <si>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</si>
  <si>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</si>
  <si>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</si>
  <si>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</si>
  <si>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</si>
  <si>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</si>
  <si>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</si>
  <si>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</si>
  <si>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</si>
  <si>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</si>
  <si>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</si>
  <si>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</si>
  <si>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</si>
  <si>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</si>
  <si>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</si>
  <si>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</si>
  <si>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</si>
  <si>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</si>
  <si>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</si>
  <si>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</si>
  <si>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</si>
  <si>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</si>
  <si>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</si>
  <si>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</si>
  <si>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</si>
  <si>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</si>
  <si>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</si>
  <si>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</si>
  <si>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</si>
  <si>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</si>
  <si>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</si>
  <si>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</si>
  <si>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</si>
  <si>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</si>
  <si>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</si>
  <si>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</si>
  <si>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</si>
  <si>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</si>
  <si>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</si>
  <si>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</si>
  <si>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</si>
  <si>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</si>
  <si>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</si>
  <si>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</si>
  <si>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</si>
  <si>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</si>
  <si>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</si>
  <si>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</si>
  <si>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</si>
  <si>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</si>
  <si>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</si>
  <si>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</si>
  <si>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</si>
  <si>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</si>
  <si>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</si>
  <si>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</si>
  <si>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</si>
  <si>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</si>
  <si>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</si>
  <si>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</si>
  <si>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</si>
  <si>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</si>
  <si>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</si>
  <si>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</si>
  <si>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</si>
  <si>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</si>
  <si>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</si>
  <si>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</si>
  <si>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</si>
  <si>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</si>
  <si>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</si>
  <si>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</si>
  <si>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</si>
  <si>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</si>
  <si>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</si>
  <si>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</si>
  <si>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</si>
  <si>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</si>
  <si>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</si>
  <si>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</si>
  <si>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</si>
  <si>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</si>
  <si>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</si>
  <si>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</si>
  <si>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</si>
  <si>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</si>
  <si>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</si>
  <si>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</si>
  <si>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</si>
  <si>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</si>
  <si>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</si>
  <si>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</si>
  <si>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</si>
  <si>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</si>
  <si>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</si>
  <si>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</si>
  <si>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</si>
  <si>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</si>
  <si>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</si>
  <si>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</si>
  <si>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</si>
  <si>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</si>
  <si>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</si>
  <si>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</si>
  <si>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</si>
  <si>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</si>
  <si>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</si>
  <si>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</si>
  <si>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</si>
  <si>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</si>
  <si>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</si>
  <si>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</si>
  <si>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</si>
  <si>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</si>
  <si>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</si>
  <si>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</si>
  <si>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</si>
  <si>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</si>
  <si>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</si>
  <si>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</si>
  <si>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</si>
  <si>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</si>
  <si>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</si>
  <si>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</si>
  <si>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</si>
  <si>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</si>
  <si>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</si>
  <si>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</si>
  <si>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</si>
  <si>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</si>
  <si>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</si>
  <si>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</si>
  <si>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</si>
  <si>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</si>
  <si>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</si>
  <si>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</si>
  <si>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</si>
  <si>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</si>
  <si>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</si>
  <si>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</si>
  <si>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</si>
  <si>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</si>
  <si>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</si>
  <si>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</si>
  <si>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</si>
  <si>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</si>
  <si>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</si>
  <si>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</si>
  <si>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</si>
  <si>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</si>
  <si>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</si>
  <si>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</si>
  <si>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</si>
  <si>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</si>
  <si>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</si>
  <si>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</si>
  <si>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</si>
  <si>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</si>
  <si>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</si>
  <si>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</si>
  <si>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</si>
  <si>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</si>
  <si>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</si>
  <si>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</si>
  <si>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</si>
  <si>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</si>
  <si>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</si>
  <si>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</si>
  <si>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</si>
  <si>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</si>
  <si>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</si>
  <si>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</si>
  <si>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</si>
  <si>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</si>
  <si>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</si>
  <si>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</si>
  <si>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</si>
  <si>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</si>
  <si>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</si>
  <si>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</si>
  <si>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</si>
  <si>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</si>
  <si>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</si>
  <si>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</si>
  <si>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</si>
  <si>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</si>
  <si>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</si>
  <si>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</si>
  <si>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</si>
  <si>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</si>
  <si>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</si>
  <si>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</si>
  <si>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</si>
  <si>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</si>
  <si>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</si>
  <si>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</si>
  <si>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</si>
  <si>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</si>
  <si>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</si>
  <si>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</si>
  <si>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</si>
  <si>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</si>
  <si>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</si>
  <si>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</si>
  <si>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</si>
  <si>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</si>
  <si>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</si>
  <si>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</si>
  <si>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</si>
  <si>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</si>
  <si>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</si>
  <si>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</si>
  <si>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</si>
  <si>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</si>
  <si>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</si>
  <si>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</si>
  <si>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</si>
  <si>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</si>
  <si>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</si>
  <si>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</si>
  <si>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</si>
  <si>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</si>
  <si>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</si>
  <si>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</si>
  <si>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</si>
  <si>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</si>
  <si>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</si>
  <si>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</si>
  <si>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</si>
  <si>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</si>
  <si>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</si>
  <si>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</si>
  <si>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</si>
  <si>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</si>
  <si>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</si>
  <si>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</si>
  <si>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</si>
  <si>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</si>
  <si>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</si>
  <si>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</si>
  <si>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</si>
  <si>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</si>
  <si>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</si>
  <si>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</si>
  <si>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</si>
  <si>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</si>
  <si>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</si>
  <si>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</si>
  <si>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</si>
  <si>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</si>
  <si>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</si>
  <si>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</si>
  <si>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</si>
  <si>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</si>
  <si>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</si>
  <si>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</si>
  <si>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</si>
  <si>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</si>
  <si>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</si>
  <si>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</si>
  <si>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</si>
  <si>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</si>
  <si>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</si>
  <si>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</si>
  <si>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</si>
  <si>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</si>
  <si>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</si>
  <si>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</si>
  <si>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</si>
  <si>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</si>
  <si>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</si>
  <si>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</si>
  <si>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</si>
  <si>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</si>
  <si>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</si>
  <si>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</si>
  <si>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</si>
  <si>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</si>
  <si>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</si>
  <si>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</si>
  <si>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</si>
  <si>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</si>
  <si>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</si>
  <si>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</si>
  <si>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</si>
  <si>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</si>
  <si>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</si>
  <si>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</si>
  <si>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</si>
  <si>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</si>
  <si>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</si>
  <si>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</si>
  <si>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</si>
  <si>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</si>
  <si>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</si>
  <si>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</si>
  <si>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</si>
  <si>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</si>
  <si>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</si>
  <si>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</si>
  <si>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</si>
  <si>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</si>
  <si>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</si>
  <si>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</si>
  <si>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</si>
  <si>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</si>
  <si>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</si>
  <si>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</si>
  <si>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</si>
  <si>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</si>
  <si>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</si>
  <si>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</si>
  <si>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</si>
  <si>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</si>
  <si>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</si>
  <si>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</si>
  <si>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</si>
  <si>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</si>
  <si>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</si>
  <si>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</si>
  <si>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</si>
  <si>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</si>
  <si>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</si>
  <si>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</si>
  <si>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</si>
  <si>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</si>
  <si>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</si>
  <si>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</si>
  <si>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</si>
  <si>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</si>
  <si>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</si>
  <si>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</si>
  <si>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</si>
  <si>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</si>
  <si>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</si>
  <si>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</si>
  <si>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</si>
  <si>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</si>
  <si>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</si>
  <si>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</si>
  <si>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</si>
  <si>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</si>
  <si>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</si>
  <si>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</si>
  <si>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</si>
  <si>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</si>
  <si>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</si>
  <si>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</si>
  <si>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</si>
  <si>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</si>
  <si>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</si>
  <si>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</si>
  <si>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</si>
  <si>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</si>
  <si>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</si>
  <si>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</si>
  <si>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</si>
  <si>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</si>
  <si>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</si>
  <si>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</si>
  <si>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</si>
  <si>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</si>
  <si>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</si>
  <si>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</si>
  <si>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</si>
  <si>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</si>
  <si>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</si>
  <si>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</si>
  <si>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</si>
  <si>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</si>
  <si>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</si>
  <si>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</si>
  <si>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</si>
  <si>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</si>
  <si>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</si>
  <si>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</si>
  <si>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</si>
  <si>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</si>
  <si>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</si>
  <si>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</si>
  <si>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</si>
  <si>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</si>
  <si>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</si>
  <si>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</si>
  <si>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</si>
  <si>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</si>
  <si>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</si>
  <si>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</si>
  <si>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</si>
  <si>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</si>
  <si>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</si>
  <si>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</si>
  <si>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</si>
  <si>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</si>
  <si>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</si>
  <si>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</si>
  <si>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</si>
  <si>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</si>
  <si>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</si>
  <si>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</si>
  <si>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</si>
  <si>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</si>
  <si>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</si>
  <si>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</si>
  <si>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</si>
  <si>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</si>
  <si>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</si>
  <si>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</si>
  <si>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</si>
  <si>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</si>
  <si>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</si>
  <si>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</si>
  <si>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</si>
  <si>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</si>
  <si>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</si>
  <si>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</si>
  <si>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</si>
  <si>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</si>
  <si>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</si>
  <si>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</si>
  <si>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</si>
  <si>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</si>
  <si>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</si>
  <si>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</si>
  <si>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</si>
  <si>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</si>
  <si>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</si>
  <si>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</si>
  <si>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</si>
  <si>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</si>
  <si>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</si>
  <si>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</si>
  <si>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</si>
  <si>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</si>
  <si>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</si>
  <si>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</si>
  <si>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</si>
  <si>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</si>
  <si>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</si>
  <si>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</si>
  <si>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</si>
  <si>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</si>
  <si>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</si>
  <si>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</si>
  <si>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</si>
  <si>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</si>
  <si>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</si>
  <si>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</si>
  <si>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</si>
  <si>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</si>
  <si>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</si>
  <si>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</si>
  <si>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</si>
  <si>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</si>
  <si>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</si>
  <si>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</si>
  <si>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</si>
  <si>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</si>
  <si>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</si>
  <si>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</si>
  <si>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</si>
  <si>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</si>
  <si>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</si>
  <si>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</si>
  <si>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</si>
  <si>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</si>
  <si>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</si>
  <si>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</si>
  <si>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</si>
  <si>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</si>
  <si>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</si>
  <si>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</si>
  <si>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</si>
  <si>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</si>
  <si>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</si>
  <si>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</si>
  <si>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</si>
  <si>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</si>
  <si>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</si>
  <si>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</si>
  <si>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</si>
  <si>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</si>
  <si>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</si>
  <si>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</si>
  <si>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</si>
  <si>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</si>
  <si>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</si>
  <si>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</si>
  <si>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</si>
  <si>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</si>
  <si>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</si>
  <si>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</si>
  <si>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</si>
  <si>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</si>
  <si>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</si>
  <si>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</si>
  <si>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</si>
  <si>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</si>
  <si>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</si>
  <si>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</si>
  <si>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</si>
  <si>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</si>
  <si>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</si>
  <si>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</si>
  <si>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</si>
  <si>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</si>
  <si>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</si>
  <si>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</si>
  <si>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</si>
  <si>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</si>
  <si>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</si>
  <si>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</si>
  <si>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</si>
  <si>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</si>
  <si>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</si>
  <si>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</si>
  <si>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</si>
  <si>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</si>
  <si>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</si>
  <si>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</si>
  <si>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</si>
  <si>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</si>
  <si>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</si>
  <si>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</si>
  <si>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</si>
  <si>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</si>
  <si>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</si>
  <si>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</si>
  <si>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</si>
  <si>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</si>
  <si>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</si>
  <si>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</si>
  <si>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</si>
  <si>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</si>
  <si>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</si>
  <si>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</si>
  <si>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</si>
  <si>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</si>
  <si>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</si>
  <si>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</si>
  <si>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</si>
  <si>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</si>
  <si>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</si>
  <si>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</si>
  <si>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</si>
  <si>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</si>
  <si>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</si>
  <si>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</si>
  <si>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</si>
  <si>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</si>
  <si>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</si>
  <si>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</si>
  <si>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</si>
  <si>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</si>
  <si>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</si>
  <si>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</si>
  <si>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</si>
  <si>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</si>
  <si>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</si>
  <si>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</si>
  <si>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</si>
  <si>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</si>
  <si>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</si>
  <si>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</si>
  <si>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</si>
  <si>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</si>
  <si>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</si>
  <si>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</si>
  <si>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</si>
  <si>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</si>
  <si>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</si>
  <si>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</si>
  <si>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</si>
  <si>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</si>
  <si>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</si>
  <si>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</si>
  <si>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</si>
  <si>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</si>
  <si>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</si>
  <si>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</si>
  <si>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</si>
  <si>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</si>
  <si>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</si>
  <si>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</si>
  <si>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</si>
  <si>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</si>
  <si>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</si>
  <si>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</si>
  <si>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</si>
  <si>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</si>
  <si>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</si>
  <si>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</si>
  <si>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</si>
  <si>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</si>
  <si>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</si>
  <si>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</si>
  <si>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</si>
  <si>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</si>
  <si>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</si>
  <si>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</si>
  <si>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</si>
  <si>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</si>
  <si>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</si>
  <si>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</si>
  <si>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</si>
  <si>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</si>
  <si>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</si>
  <si>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</si>
  <si>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</si>
  <si>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</si>
  <si>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</si>
  <si>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</si>
  <si>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</si>
  <si>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</si>
  <si>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</si>
  <si>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</si>
  <si>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</si>
  <si>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</si>
  <si>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</si>
  <si>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</si>
  <si>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</si>
  <si>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</si>
  <si>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</si>
  <si>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</si>
  <si>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</si>
  <si>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</si>
  <si>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</si>
  <si>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</si>
  <si>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</si>
  <si>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</si>
  <si>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</si>
  <si>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</si>
  <si>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</si>
  <si>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</si>
  <si>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</si>
  <si>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</si>
  <si>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</si>
  <si>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</si>
  <si>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</si>
  <si>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</si>
  <si>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</si>
  <si>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</si>
  <si>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</si>
  <si>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</si>
  <si>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</si>
  <si>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</si>
  <si>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</si>
  <si>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</si>
  <si>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</si>
  <si>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</si>
  <si>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</si>
  <si>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</si>
  <si>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</si>
  <si>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</si>
  <si>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</si>
  <si>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</si>
  <si>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</si>
  <si>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</si>
  <si>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</si>
  <si>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</si>
  <si>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</si>
  <si>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</si>
  <si>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</si>
  <si>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</si>
  <si>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</si>
  <si>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</si>
  <si>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</si>
  <si>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</si>
  <si>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</si>
  <si>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</si>
  <si>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</si>
  <si>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</si>
  <si>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</si>
  <si>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</si>
  <si>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</si>
  <si>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</si>
  <si>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</si>
  <si>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</si>
  <si>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</si>
  <si>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</si>
  <si>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</si>
  <si>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</si>
  <si>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</si>
  <si>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</si>
  <si>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</si>
  <si>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</si>
  <si>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</si>
  <si>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</si>
  <si>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</si>
  <si>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</si>
  <si>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</si>
  <si>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</si>
  <si>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</si>
  <si>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</si>
  <si>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</si>
  <si>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</si>
  <si>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</si>
  <si>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</si>
  <si>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</si>
  <si>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</si>
  <si>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</si>
  <si>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</si>
  <si>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</si>
  <si>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</si>
  <si>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</si>
  <si>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</si>
  <si>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</si>
  <si>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</si>
  <si>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</si>
  <si>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</si>
  <si>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</si>
  <si>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</si>
  <si>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</si>
  <si>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</si>
  <si>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</si>
  <si>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</si>
  <si>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</si>
  <si>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</si>
  <si>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</si>
  <si>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</si>
  <si>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</si>
  <si>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</si>
  <si>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</si>
  <si>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</si>
  <si>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</si>
  <si>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</si>
  <si>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</si>
  <si>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</si>
  <si>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</si>
  <si>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</si>
  <si>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</si>
  <si>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</si>
  <si>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</si>
  <si>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</si>
  <si>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</si>
  <si>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</si>
  <si>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WEARE SCHOOL DISTRICT</t>
  </si>
  <si>
    <t>pay'able not paid</t>
  </si>
  <si>
    <t>reduction in Accr Vacation</t>
  </si>
  <si>
    <t>Deferred Revenue</t>
  </si>
  <si>
    <t>8/1/2015</t>
  </si>
  <si>
    <t>6/30/2026</t>
  </si>
  <si>
    <t>6/21/2019</t>
  </si>
  <si>
    <t>06/28/2034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</si>
</sst>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130" activePane="bottomRight" state="frozen"/>
      <selection pane="topRight" activeCell="F1" sqref="F1"/>
      <selection pane="bottomLeft" activeCell="A4" sqref="A4"/>
      <selection pane="bottomRight" activeCell="K93" sqref="K9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555</v>
      </c>
      <c r="C2" s="21">
        <v>555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349604.33</v>
      </c>
      <c r="G9" s="18">
        <v>123934.59</v>
      </c>
      <c r="H9" s="18">
        <v>-26838.29</v>
      </c>
      <c r="I9" s="18">
        <v>0</v>
      </c>
      <c r="J9" s="67">
        <f>SUM(I439)</f>
        <v>270872.57</v>
      </c>
      <c r="K9" s="24" t="s">
        <v>288</v>
      </c>
      <c r="L9" s="24" t="s">
        <v>288</v>
      </c>
      <c r="M9" s="8"/>
      <c r="N9" s="266"/>
    </row>
    <row r="10" spans="1:14" s="3" customFormat="1" ht="12.2" customHeight="1" x14ac:dyDescent="0.15">
      <c r="A10" s="1" t="s">
        <v>562</v>
      </c>
      <c r="B10" s="2" t="s">
        <v>289</v>
      </c>
      <c r="C10" s="6">
        <v>2</v>
      </c>
      <c r="D10" s="2" t="s">
        <v>428</v>
      </c>
      <c r="E10" s="6">
        <v>110</v>
      </c>
      <c r="F10" s="18">
        <v>0</v>
      </c>
      <c r="G10" s="18">
        <v>0</v>
      </c>
      <c r="H10" s="18">
        <v>0</v>
      </c>
      <c r="I10" s="18">
        <v>0</v>
      </c>
      <c r="J10" s="67">
        <f>SUM(I440)</f>
        <v>0</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0</v>
      </c>
      <c r="G12" s="18">
        <v>4072.64</v>
      </c>
      <c r="H12" s="18">
        <v>0</v>
      </c>
      <c r="I12" s="18">
        <v>0</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v>20671.66</v>
      </c>
      <c r="G13" s="18">
        <v>31147.83</v>
      </c>
      <c r="H13" s="18">
        <v>36634.61</v>
      </c>
      <c r="I13" s="18">
        <v>0</v>
      </c>
      <c r="J13" s="67">
        <f>SUM(I442)</f>
        <v>0</v>
      </c>
      <c r="K13" s="24" t="s">
        <v>288</v>
      </c>
      <c r="L13" s="24" t="s">
        <v>288</v>
      </c>
      <c r="M13" s="8"/>
      <c r="N13" s="266"/>
    </row>
    <row r="14" spans="1:14" s="3" customFormat="1" ht="12.2" customHeight="1" x14ac:dyDescent="0.15">
      <c r="A14" s="1" t="s">
        <v>565</v>
      </c>
      <c r="B14" s="2" t="s">
        <v>289</v>
      </c>
      <c r="C14" s="6">
        <v>6</v>
      </c>
      <c r="D14" s="2" t="s">
        <v>428</v>
      </c>
      <c r="E14" s="6">
        <v>150</v>
      </c>
      <c r="F14" s="18">
        <v>4072.64</v>
      </c>
      <c r="G14" s="18">
        <v>0</v>
      </c>
      <c r="H14" s="18">
        <v>0</v>
      </c>
      <c r="I14" s="18">
        <v>0</v>
      </c>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v>0</v>
      </c>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v>0</v>
      </c>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374348.63</v>
      </c>
      <c r="G19" s="41">
        <f>SUM(G9:G18)</f>
        <v>159155.06</v>
      </c>
      <c r="H19" s="41">
        <f>SUM(H9:H18)</f>
        <v>9796.32</v>
      </c>
      <c r="I19" s="41">
        <f>SUM(I9:I18)</f>
        <v>0</v>
      </c>
      <c r="J19" s="41">
        <f>SUM(J9:J18)</f>
        <v>270872.57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0</v>
      </c>
      <c r="H22" s="18">
        <v>0</v>
      </c>
      <c r="I22" s="18">
        <v>0</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0</v>
      </c>
      <c r="G23" s="18">
        <v>0</v>
      </c>
      <c r="H23" s="18">
        <v>0</v>
      </c>
      <c r="I23" s="18">
        <v>0</v>
      </c>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4253.1000000000004</v>
      </c>
      <c r="G24" s="18">
        <v>0</v>
      </c>
      <c r="H24" s="18">
        <v>0</v>
      </c>
      <c r="I24" s="18">
        <v>0</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v>15990</v>
      </c>
      <c r="G25" s="10">
        <v>25629.200000000001</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6"/>
    </row>
    <row r="28" spans="1:14" s="3" customFormat="1" ht="12.2" customHeight="1" x14ac:dyDescent="0.15">
      <c r="A28" s="1" t="s">
        <v>573</v>
      </c>
      <c r="B28" s="2" t="s">
        <v>289</v>
      </c>
      <c r="C28" s="6">
        <v>18</v>
      </c>
      <c r="D28" s="2" t="s">
        <v>429</v>
      </c>
      <c r="E28" s="6">
        <v>460</v>
      </c>
      <c r="F28" s="18">
        <v>8973.75</v>
      </c>
      <c r="G28" s="18">
        <v>0</v>
      </c>
      <c r="H28" s="18">
        <v>0</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v>20545.34</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v>8585.6299999999992</v>
      </c>
      <c r="H30" s="18">
        <v>0</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v>0</v>
      </c>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49762.19</v>
      </c>
      <c r="G32" s="41">
        <f>SUM(G22:G31)</f>
        <v>34214.83</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6"/>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6"/>
    </row>
    <row r="37" spans="1:14" s="3" customFormat="1" ht="12.2" customHeight="1" x14ac:dyDescent="0.15">
      <c r="A37" s="1" t="s">
        <v>852</v>
      </c>
      <c r="B37" s="6">
        <v>1</v>
      </c>
      <c r="C37" s="6">
        <v>25</v>
      </c>
      <c r="D37" s="2" t="s">
        <v>653</v>
      </c>
      <c r="E37" s="6">
        <v>756</v>
      </c>
      <c r="F37" s="18">
        <v>0</v>
      </c>
      <c r="G37" s="18">
        <v>0</v>
      </c>
      <c r="H37" s="18">
        <v>0</v>
      </c>
      <c r="I37" s="18">
        <v>0</v>
      </c>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v>0</v>
      </c>
      <c r="H39" s="18">
        <v>0</v>
      </c>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v>0</v>
      </c>
      <c r="H43" s="18">
        <v>0</v>
      </c>
      <c r="I43" s="18">
        <v>0</v>
      </c>
      <c r="J43" s="13">
        <f>SUM(I456)</f>
        <v>0</v>
      </c>
      <c r="K43" s="24" t="s">
        <v>288</v>
      </c>
      <c r="L43" s="24" t="s">
        <v>288</v>
      </c>
      <c r="M43" s="8"/>
      <c r="N43" s="266"/>
    </row>
    <row r="44" spans="1:14" s="3" customFormat="1" ht="12.2" customHeight="1" x14ac:dyDescent="0.15">
      <c r="A44" s="1" t="s">
        <v>837</v>
      </c>
      <c r="B44" s="6">
        <v>1</v>
      </c>
      <c r="C44" s="6">
        <v>30</v>
      </c>
      <c r="D44" s="2" t="s">
        <v>653</v>
      </c>
      <c r="E44" s="6">
        <v>755</v>
      </c>
      <c r="F44" s="18">
        <v>0</v>
      </c>
      <c r="G44" s="18"/>
      <c r="H44" s="18"/>
      <c r="I44" s="18">
        <v>0</v>
      </c>
      <c r="J44" s="24" t="s">
        <v>288</v>
      </c>
      <c r="K44" s="24" t="s">
        <v>288</v>
      </c>
      <c r="L44" s="24" t="s">
        <v>288</v>
      </c>
      <c r="M44" s="8"/>
      <c r="N44" s="266"/>
    </row>
    <row r="45" spans="1:14" s="3" customFormat="1" ht="12.2" customHeight="1" x14ac:dyDescent="0.15">
      <c r="A45" s="1" t="s">
        <v>838</v>
      </c>
      <c r="B45" s="6">
        <v>1</v>
      </c>
      <c r="C45" s="6">
        <v>31</v>
      </c>
      <c r="D45" s="2"/>
      <c r="E45" s="6">
        <v>753</v>
      </c>
      <c r="F45" s="18">
        <v>0</v>
      </c>
      <c r="G45" s="18">
        <v>0</v>
      </c>
      <c r="H45" s="18">
        <v>0</v>
      </c>
      <c r="I45" s="18">
        <v>0</v>
      </c>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v>124940.23</v>
      </c>
      <c r="H48" s="18">
        <v>9796.32</v>
      </c>
      <c r="I48" s="18">
        <v>0</v>
      </c>
      <c r="J48" s="13">
        <f>SUM(I459)</f>
        <v>270872.57</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324586.44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324586.44</v>
      </c>
      <c r="G51" s="41">
        <f>SUM(G35:G50)</f>
        <v>124940.23</v>
      </c>
      <c r="H51" s="41">
        <f>SUM(H35:H50)</f>
        <v>9796.32</v>
      </c>
      <c r="I51" s="41">
        <f>SUM(I35:I50)</f>
        <v>0</v>
      </c>
      <c r="J51" s="41">
        <f>SUM(J35:J50)</f>
        <v>270872.57</v>
      </c>
      <c r="K51" s="45" t="s">
        <v>288</v>
      </c>
      <c r="L51" s="45" t="s">
        <v>288</v>
      </c>
      <c r="N51" s="264"/>
    </row>
    <row r="52" spans="1:14" s="3" customFormat="1" ht="12.2" customHeight="1" thickTop="1" x14ac:dyDescent="0.15">
      <c r="A52" s="38" t="s">
        <v>455</v>
      </c>
      <c r="B52" s="39" t="s">
        <v>289</v>
      </c>
      <c r="C52" s="6">
        <v>37</v>
      </c>
      <c r="D52" s="39" t="s">
        <v>653</v>
      </c>
      <c r="E52" s="39"/>
      <c r="F52" s="41">
        <f>F51+F32</f>
        <v>374348.63</v>
      </c>
      <c r="G52" s="41">
        <f>G51+G32</f>
        <v>159155.06</v>
      </c>
      <c r="H52" s="41">
        <f>H51+H32</f>
        <v>9796.32</v>
      </c>
      <c r="I52" s="41">
        <f>I51+I32</f>
        <v>0</v>
      </c>
      <c r="J52" s="41">
        <f>J51+J32</f>
        <v>270872.57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7754792.2999999998</v>
      </c>
      <c r="G57" s="18">
        <v>0</v>
      </c>
      <c r="H57" s="18">
        <v>0</v>
      </c>
      <c r="I57" s="18">
        <v>0</v>
      </c>
      <c r="J57" s="18">
        <v>0</v>
      </c>
      <c r="K57" s="24" t="s">
        <v>288</v>
      </c>
      <c r="L57" s="24" t="s">
        <v>288</v>
      </c>
      <c r="M57" s="8"/>
      <c r="N57" s="266"/>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7754792.2999999998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15250</v>
      </c>
      <c r="G63" s="24" t="s">
        <v>288</v>
      </c>
      <c r="H63" s="18">
        <v>0</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15250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0</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85648</v>
      </c>
      <c r="G86" s="24" t="s">
        <v>288</v>
      </c>
      <c r="H86" s="18">
        <v>0</v>
      </c>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85648</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7803.74</v>
      </c>
      <c r="G96" s="18">
        <v>0</v>
      </c>
      <c r="H96" s="18">
        <v>0</v>
      </c>
      <c r="I96" s="18">
        <v>0</v>
      </c>
      <c r="J96" s="18">
        <v>811.32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229375.07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900</v>
      </c>
      <c r="G101" s="18">
        <v>0</v>
      </c>
      <c r="H101" s="18">
        <v>0</v>
      </c>
      <c r="I101" s="18">
        <v>0</v>
      </c>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267.89</v>
      </c>
      <c r="G102" s="18">
        <v>0</v>
      </c>
      <c r="H102" s="18">
        <v>40456.15</v>
      </c>
      <c r="I102" s="18">
        <v>0</v>
      </c>
      <c r="J102" s="18"/>
      <c r="K102" s="24" t="s">
        <v>288</v>
      </c>
      <c r="L102" s="24" t="s">
        <v>288</v>
      </c>
      <c r="M102" s="8"/>
      <c r="N102" s="266"/>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0</v>
      </c>
      <c r="G108" s="18">
        <v>0</v>
      </c>
      <c r="H108" s="18">
        <v>0</v>
      </c>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17928.36</v>
      </c>
      <c r="G109" s="18">
        <v>0</v>
      </c>
      <c r="H109" s="18">
        <v>0</v>
      </c>
      <c r="I109" s="18">
        <v>0</v>
      </c>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57810.42</v>
      </c>
      <c r="G110" s="18">
        <v>0</v>
      </c>
      <c r="H110" s="18">
        <v>0</v>
      </c>
      <c r="I110" s="18">
        <v>0</v>
      </c>
      <c r="J110" s="18">
        <v>0</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84710.41</v>
      </c>
      <c r="G111" s="41">
        <f>SUM(G96:G110)</f>
        <v>229375.07</v>
      </c>
      <c r="H111" s="41">
        <f>SUM(H96:H110)</f>
        <v>40456.15</v>
      </c>
      <c r="I111" s="41">
        <f>SUM(I96:I110)</f>
        <v>0</v>
      </c>
      <c r="J111" s="41">
        <f>SUM(J96:J110)</f>
        <v>811.32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7940400.71</v>
      </c>
      <c r="G112" s="41">
        <f>G60+G111</f>
        <v>229375.07</v>
      </c>
      <c r="H112" s="41">
        <f>H60+H79+H94+H111</f>
        <v>40456.15</v>
      </c>
      <c r="I112" s="41">
        <f>I60+I111</f>
        <v>0</v>
      </c>
      <c r="J112" s="41">
        <f>J60+J111</f>
        <v>811.32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4794696.55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1171468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489.02</v>
      </c>
      <c r="G120" s="18">
        <v>0</v>
      </c>
      <c r="H120" s="18">
        <v>0</v>
      </c>
      <c r="I120" s="18">
        <v>0</v>
      </c>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5966653.5699999994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369686.39</v>
      </c>
      <c r="G123" s="24" t="s">
        <v>288</v>
      </c>
      <c r="H123" s="24" t="s">
        <v>288</v>
      </c>
      <c r="I123" s="18">
        <v>0</v>
      </c>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6"/>
    </row>
    <row r="125" spans="1:14" s="3" customFormat="1" ht="12.2" customHeight="1" x14ac:dyDescent="0.15">
      <c r="A125" s="1" t="s">
        <v>911</v>
      </c>
      <c r="B125" s="2" t="s">
        <v>321</v>
      </c>
      <c r="C125" s="6">
        <v>8</v>
      </c>
      <c r="D125" s="2" t="s">
        <v>430</v>
      </c>
      <c r="E125" s="6">
        <v>3220</v>
      </c>
      <c r="F125" s="18">
        <v>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55424.36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v>0</v>
      </c>
      <c r="G129" s="24" t="s">
        <v>288</v>
      </c>
      <c r="H129" s="18">
        <v>0</v>
      </c>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v>0</v>
      </c>
      <c r="G130" s="24" t="s">
        <v>288</v>
      </c>
      <c r="H130" s="18">
        <v>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5341.09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425110.75</v>
      </c>
      <c r="G136" s="41">
        <f>SUM(G123:G135)</f>
        <v>5341.09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6391764.3199999994</v>
      </c>
      <c r="G140" s="41">
        <f>G121+SUM(G136:G137)</f>
        <v>5341.09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0</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51748.39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109029.62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0</v>
      </c>
      <c r="G159" s="24" t="s">
        <v>288</v>
      </c>
      <c r="H159" s="18">
        <v>0</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90356.95</v>
      </c>
      <c r="G160" s="24" t="s">
        <v>288</v>
      </c>
      <c r="H160" s="18">
        <v>0</v>
      </c>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0</v>
      </c>
      <c r="G161" s="18">
        <v>0</v>
      </c>
      <c r="H161" s="18">
        <v>0</v>
      </c>
      <c r="I161" s="18">
        <v>0</v>
      </c>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90356.95</v>
      </c>
      <c r="G162" s="41">
        <f>SUM(G150:G161)</f>
        <v>109029.62</v>
      </c>
      <c r="H162" s="41">
        <f>SUM(H150:H161)</f>
        <v>51748.39</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v>0</v>
      </c>
      <c r="G163" s="18">
        <v>0</v>
      </c>
      <c r="H163" s="18">
        <v>0</v>
      </c>
      <c r="I163" s="18">
        <v>0</v>
      </c>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0</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v>0</v>
      </c>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v>0</v>
      </c>
      <c r="G168" s="18">
        <v>0</v>
      </c>
      <c r="H168" s="18">
        <v>0</v>
      </c>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90356.95</v>
      </c>
      <c r="G169" s="41">
        <f>G147+G162+SUM(G163:G168)</f>
        <v>109029.62</v>
      </c>
      <c r="H169" s="41">
        <f>H147+H162+SUM(H163:H168)</f>
        <v>51748.39</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v>0</v>
      </c>
      <c r="G173" s="24" t="s">
        <v>288</v>
      </c>
      <c r="H173" s="24" t="s">
        <v>288</v>
      </c>
      <c r="I173" s="18">
        <v>0</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v>0</v>
      </c>
      <c r="G174" s="24" t="s">
        <v>288</v>
      </c>
      <c r="H174" s="24" t="s">
        <v>288</v>
      </c>
      <c r="I174" s="18">
        <v>0</v>
      </c>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v>0</v>
      </c>
      <c r="G175" s="24" t="s">
        <v>288</v>
      </c>
      <c r="H175" s="24" t="s">
        <v>288</v>
      </c>
      <c r="I175" s="18">
        <v>0</v>
      </c>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v>0</v>
      </c>
      <c r="G176" s="24" t="s">
        <v>288</v>
      </c>
      <c r="H176" s="24" t="s">
        <v>288</v>
      </c>
      <c r="I176" s="18">
        <v>0</v>
      </c>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0</v>
      </c>
      <c r="H179" s="18">
        <v>0</v>
      </c>
      <c r="I179" s="18">
        <v>0</v>
      </c>
      <c r="J179" s="18">
        <v>0</v>
      </c>
      <c r="K179" s="24" t="s">
        <v>288</v>
      </c>
      <c r="L179" s="24" t="s">
        <v>288</v>
      </c>
      <c r="M179" s="8"/>
      <c r="N179" s="266"/>
    </row>
    <row r="180" spans="1:14" s="3" customFormat="1" ht="12.2" customHeight="1" x14ac:dyDescent="0.15">
      <c r="A180" s="1" t="s">
        <v>525</v>
      </c>
      <c r="B180" s="2" t="s">
        <v>330</v>
      </c>
      <c r="C180" s="6">
        <v>7</v>
      </c>
      <c r="D180" s="2" t="s">
        <v>430</v>
      </c>
      <c r="E180" s="6">
        <v>5221</v>
      </c>
      <c r="F180" s="18">
        <v>0</v>
      </c>
      <c r="G180" s="24" t="s">
        <v>288</v>
      </c>
      <c r="H180" s="18">
        <v>0</v>
      </c>
      <c r="I180" s="18">
        <v>0</v>
      </c>
      <c r="J180" s="18"/>
      <c r="K180" s="24" t="s">
        <v>288</v>
      </c>
      <c r="L180" s="24" t="s">
        <v>288</v>
      </c>
      <c r="M180" s="8"/>
      <c r="N180" s="266"/>
    </row>
    <row r="181" spans="1:14" s="3" customFormat="1" ht="12.2" customHeight="1" x14ac:dyDescent="0.15">
      <c r="A181" s="3" t="s">
        <v>526</v>
      </c>
      <c r="B181" s="2" t="s">
        <v>330</v>
      </c>
      <c r="C181" s="6">
        <v>8</v>
      </c>
      <c r="D181" s="2" t="s">
        <v>430</v>
      </c>
      <c r="E181" s="6">
        <v>5222</v>
      </c>
      <c r="F181" s="18">
        <v>0</v>
      </c>
      <c r="G181" s="18">
        <v>0</v>
      </c>
      <c r="H181" s="24" t="s">
        <v>288</v>
      </c>
      <c r="I181" s="18">
        <v>0</v>
      </c>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v>0</v>
      </c>
      <c r="G182" s="18">
        <v>0</v>
      </c>
      <c r="H182" s="18">
        <v>0</v>
      </c>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0</v>
      </c>
      <c r="G185" s="18">
        <v>0</v>
      </c>
      <c r="H185" s="18">
        <v>0</v>
      </c>
      <c r="I185" s="18">
        <v>0</v>
      </c>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0</v>
      </c>
      <c r="G186" s="18">
        <v>0</v>
      </c>
      <c r="H186" s="18">
        <v>0</v>
      </c>
      <c r="I186" s="18">
        <v>0</v>
      </c>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v>0</v>
      </c>
      <c r="G187" s="18">
        <v>0</v>
      </c>
      <c r="H187" s="18">
        <v>0</v>
      </c>
      <c r="I187" s="18">
        <v>0</v>
      </c>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v>0</v>
      </c>
      <c r="G189" s="18">
        <v>0</v>
      </c>
      <c r="H189" s="18">
        <v>0</v>
      </c>
      <c r="I189" s="18">
        <v>0</v>
      </c>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v>0</v>
      </c>
      <c r="G190" s="18">
        <v>0</v>
      </c>
      <c r="H190" s="18">
        <v>0</v>
      </c>
      <c r="I190" s="18">
        <v>0</v>
      </c>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v>0</v>
      </c>
      <c r="G191" s="18">
        <v>0</v>
      </c>
      <c r="H191" s="18">
        <v>0</v>
      </c>
      <c r="I191" s="18">
        <v>0</v>
      </c>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14422521.979999999</v>
      </c>
      <c r="G193" s="47">
        <f>G112+G140+G169+G192</f>
        <v>343745.78</v>
      </c>
      <c r="H193" s="47">
        <f>H112+H140+H169+H192</f>
        <v>92204.540000000008</v>
      </c>
      <c r="I193" s="47">
        <f>I112+I140+I169+I192</f>
        <v>0</v>
      </c>
      <c r="J193" s="47">
        <f>J112+J140+J192</f>
        <v>811.32</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2001109.35</v>
      </c>
      <c r="G197" s="18">
        <v>1136052.26</v>
      </c>
      <c r="H197" s="18">
        <v>121737.88</v>
      </c>
      <c r="I197" s="18">
        <v>123939.57</v>
      </c>
      <c r="J197" s="18">
        <v>14480.97</v>
      </c>
      <c r="K197" s="18">
        <v>0</v>
      </c>
      <c r="L197" s="19">
        <f>SUM(F197:K197)</f>
        <v>3397320.0300000003</v>
      </c>
      <c r="M197" s="8"/>
      <c r="N197" s="266"/>
    </row>
    <row r="198" spans="1:14" s="3" customFormat="1" ht="12.2" customHeight="1" x14ac:dyDescent="0.15">
      <c r="A198" s="1" t="s">
        <v>439</v>
      </c>
      <c r="B198" s="2" t="s">
        <v>341</v>
      </c>
      <c r="C198" s="2" t="s">
        <v>291</v>
      </c>
      <c r="D198" s="2" t="s">
        <v>431</v>
      </c>
      <c r="E198" s="6">
        <v>1200</v>
      </c>
      <c r="F198" s="18">
        <v>861939.83</v>
      </c>
      <c r="G198" s="18">
        <v>339409.22</v>
      </c>
      <c r="H198" s="18">
        <v>119860.12</v>
      </c>
      <c r="I198" s="18">
        <v>10410.48</v>
      </c>
      <c r="J198" s="18">
        <v>2200</v>
      </c>
      <c r="K198" s="18">
        <v>5409.09</v>
      </c>
      <c r="L198" s="19">
        <f>SUM(F198:K198)</f>
        <v>1339228.74</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28040.22</v>
      </c>
      <c r="G200" s="18">
        <v>6434.91</v>
      </c>
      <c r="H200" s="18">
        <v>0</v>
      </c>
      <c r="I200" s="18">
        <v>0</v>
      </c>
      <c r="J200" s="18">
        <v>0</v>
      </c>
      <c r="K200" s="18">
        <v>0</v>
      </c>
      <c r="L200" s="19">
        <f>SUM(F200:K200)</f>
        <v>34475.130000000005</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367517.71</v>
      </c>
      <c r="G202" s="18">
        <v>203831.74</v>
      </c>
      <c r="H202" s="18">
        <v>76089.83</v>
      </c>
      <c r="I202" s="18">
        <v>6623.3</v>
      </c>
      <c r="J202" s="18">
        <v>4292.79</v>
      </c>
      <c r="K202" s="18">
        <v>0</v>
      </c>
      <c r="L202" s="19">
        <f t="shared" ref="L202:L208" si="0">SUM(F202:K202)</f>
        <v>658355.37</v>
      </c>
      <c r="M202" s="8"/>
      <c r="N202" s="266"/>
    </row>
    <row r="203" spans="1:14" s="3" customFormat="1" ht="12.2" customHeight="1" x14ac:dyDescent="0.15">
      <c r="A203" s="1" t="s">
        <v>443</v>
      </c>
      <c r="B203" s="2" t="s">
        <v>341</v>
      </c>
      <c r="C203" s="2" t="s">
        <v>295</v>
      </c>
      <c r="D203" s="2" t="s">
        <v>431</v>
      </c>
      <c r="E203" s="6">
        <v>2200</v>
      </c>
      <c r="F203" s="18">
        <v>87829.77</v>
      </c>
      <c r="G203" s="18">
        <v>81683.570000000007</v>
      </c>
      <c r="H203" s="18">
        <v>3910.51</v>
      </c>
      <c r="I203" s="18">
        <v>8550.81</v>
      </c>
      <c r="J203" s="18">
        <v>90219.25</v>
      </c>
      <c r="K203" s="18">
        <v>40376.9</v>
      </c>
      <c r="L203" s="19">
        <f t="shared" si="0"/>
        <v>312570.81000000006</v>
      </c>
      <c r="M203" s="8"/>
      <c r="N203" s="266"/>
    </row>
    <row r="204" spans="1:14" s="3" customFormat="1" ht="12.2" customHeight="1" x14ac:dyDescent="0.15">
      <c r="A204" s="1" t="s">
        <v>444</v>
      </c>
      <c r="B204" s="2" t="s">
        <v>341</v>
      </c>
      <c r="C204" s="2" t="s">
        <v>296</v>
      </c>
      <c r="D204" s="2" t="s">
        <v>431</v>
      </c>
      <c r="E204" s="6">
        <v>2300</v>
      </c>
      <c r="F204" s="18">
        <v>4842.9799999999996</v>
      </c>
      <c r="G204" s="18">
        <v>13832.52</v>
      </c>
      <c r="H204" s="18">
        <v>327778.78000000003</v>
      </c>
      <c r="I204" s="18">
        <v>2262.48</v>
      </c>
      <c r="J204" s="18">
        <v>0</v>
      </c>
      <c r="K204" s="18">
        <v>8022.99</v>
      </c>
      <c r="L204" s="19">
        <f t="shared" si="0"/>
        <v>356739.75</v>
      </c>
      <c r="M204" s="8"/>
      <c r="N204" s="266"/>
    </row>
    <row r="205" spans="1:14" s="3" customFormat="1" ht="12.2" customHeight="1" x14ac:dyDescent="0.15">
      <c r="A205" s="1" t="s">
        <v>445</v>
      </c>
      <c r="B205" s="2" t="s">
        <v>341</v>
      </c>
      <c r="C205" s="2" t="s">
        <v>297</v>
      </c>
      <c r="D205" s="2" t="s">
        <v>431</v>
      </c>
      <c r="E205" s="6">
        <v>2400</v>
      </c>
      <c r="F205" s="18">
        <v>349783.23</v>
      </c>
      <c r="G205" s="18">
        <v>181372.5</v>
      </c>
      <c r="H205" s="18">
        <v>23284.26</v>
      </c>
      <c r="I205" s="18">
        <v>897.4</v>
      </c>
      <c r="J205" s="18">
        <v>389</v>
      </c>
      <c r="K205" s="18">
        <v>1680</v>
      </c>
      <c r="L205" s="19">
        <f t="shared" si="0"/>
        <v>557406.39</v>
      </c>
      <c r="M205" s="8"/>
      <c r="N205" s="266"/>
    </row>
    <row r="206" spans="1:14" s="3" customFormat="1" ht="12.2" customHeight="1" x14ac:dyDescent="0.15">
      <c r="A206" s="1" t="s">
        <v>446</v>
      </c>
      <c r="B206" s="2" t="s">
        <v>341</v>
      </c>
      <c r="C206" s="2" t="s">
        <v>298</v>
      </c>
      <c r="D206" s="2" t="s">
        <v>431</v>
      </c>
      <c r="E206" s="6">
        <v>2500</v>
      </c>
      <c r="F206" s="18">
        <v>0</v>
      </c>
      <c r="G206" s="18">
        <v>0</v>
      </c>
      <c r="H206" s="18">
        <v>0</v>
      </c>
      <c r="I206" s="18">
        <v>0</v>
      </c>
      <c r="J206" s="18">
        <v>0</v>
      </c>
      <c r="K206" s="18">
        <v>0</v>
      </c>
      <c r="L206" s="19">
        <f t="shared" si="0"/>
        <v>0</v>
      </c>
      <c r="M206" s="8"/>
      <c r="N206" s="266"/>
    </row>
    <row r="207" spans="1:14" s="3" customFormat="1" ht="12.2" customHeight="1" x14ac:dyDescent="0.15">
      <c r="A207" s="1" t="s">
        <v>447</v>
      </c>
      <c r="B207" s="2" t="s">
        <v>341</v>
      </c>
      <c r="C207" s="2" t="s">
        <v>299</v>
      </c>
      <c r="D207" s="2" t="s">
        <v>431</v>
      </c>
      <c r="E207" s="6">
        <v>2600</v>
      </c>
      <c r="F207" s="18">
        <v>62650.23</v>
      </c>
      <c r="G207" s="18">
        <v>13637.31</v>
      </c>
      <c r="H207" s="18">
        <v>315282.21999999997</v>
      </c>
      <c r="I207" s="18">
        <v>91487.97</v>
      </c>
      <c r="J207" s="18">
        <v>110397.8</v>
      </c>
      <c r="K207" s="18">
        <v>0</v>
      </c>
      <c r="L207" s="19">
        <f t="shared" si="0"/>
        <v>593455.53</v>
      </c>
      <c r="M207" s="8"/>
      <c r="N207" s="266"/>
    </row>
    <row r="208" spans="1:14" s="3" customFormat="1" ht="12.2" customHeight="1" x14ac:dyDescent="0.15">
      <c r="A208" s="1" t="s">
        <v>448</v>
      </c>
      <c r="B208" s="2" t="s">
        <v>341</v>
      </c>
      <c r="C208" s="2" t="s">
        <v>300</v>
      </c>
      <c r="D208" s="2" t="s">
        <v>431</v>
      </c>
      <c r="E208" s="6">
        <v>2700</v>
      </c>
      <c r="F208" s="18">
        <v>0</v>
      </c>
      <c r="G208" s="18">
        <v>0</v>
      </c>
      <c r="H208" s="18">
        <v>447365.48</v>
      </c>
      <c r="I208" s="18">
        <v>0</v>
      </c>
      <c r="J208" s="18">
        <v>0</v>
      </c>
      <c r="K208" s="18">
        <v>0</v>
      </c>
      <c r="L208" s="19">
        <f t="shared" si="0"/>
        <v>447365.48</v>
      </c>
      <c r="M208" s="8"/>
      <c r="N208" s="266"/>
    </row>
    <row r="209" spans="1:14" s="3" customFormat="1" ht="12.2" customHeight="1" x14ac:dyDescent="0.15">
      <c r="A209" s="1" t="s">
        <v>449</v>
      </c>
      <c r="B209" s="2" t="s">
        <v>341</v>
      </c>
      <c r="C209" s="2" t="s">
        <v>343</v>
      </c>
      <c r="D209" s="2" t="s">
        <v>431</v>
      </c>
      <c r="E209" s="6">
        <v>2800</v>
      </c>
      <c r="F209" s="18">
        <v>0</v>
      </c>
      <c r="G209" s="18">
        <v>0</v>
      </c>
      <c r="H209" s="18">
        <v>0</v>
      </c>
      <c r="I209" s="18">
        <v>0</v>
      </c>
      <c r="J209" s="18">
        <v>0</v>
      </c>
      <c r="K209" s="18">
        <v>0</v>
      </c>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3763713.3200000003</v>
      </c>
      <c r="G211" s="41">
        <f t="shared" si="1"/>
        <v>1976254.03</v>
      </c>
      <c r="H211" s="41">
        <f t="shared" si="1"/>
        <v>1435309.08</v>
      </c>
      <c r="I211" s="41">
        <f t="shared" si="1"/>
        <v>244172.01</v>
      </c>
      <c r="J211" s="41">
        <f t="shared" si="1"/>
        <v>221979.81</v>
      </c>
      <c r="K211" s="41">
        <f t="shared" si="1"/>
        <v>55488.98</v>
      </c>
      <c r="L211" s="41">
        <f t="shared" si="1"/>
        <v>7696917.2300000004</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1370091.43</v>
      </c>
      <c r="G215" s="18">
        <v>726243.82</v>
      </c>
      <c r="H215" s="18">
        <v>28077.68</v>
      </c>
      <c r="I215" s="18">
        <v>72375.929999999993</v>
      </c>
      <c r="J215" s="18">
        <v>20536.189999999999</v>
      </c>
      <c r="K215" s="18">
        <v>1474.59</v>
      </c>
      <c r="L215" s="19">
        <f>SUM(F215:K215)</f>
        <v>2218799.64</v>
      </c>
      <c r="M215" s="8"/>
      <c r="N215" s="266"/>
    </row>
    <row r="216" spans="1:14" s="3" customFormat="1" ht="12.2" customHeight="1" x14ac:dyDescent="0.15">
      <c r="A216" s="1" t="s">
        <v>439</v>
      </c>
      <c r="B216" s="2" t="s">
        <v>346</v>
      </c>
      <c r="C216" s="2" t="s">
        <v>291</v>
      </c>
      <c r="D216" s="2" t="s">
        <v>431</v>
      </c>
      <c r="E216" s="6">
        <v>1200</v>
      </c>
      <c r="F216" s="18">
        <v>607654.82999999996</v>
      </c>
      <c r="G216" s="18">
        <v>223302.22</v>
      </c>
      <c r="H216" s="18">
        <v>92039.33</v>
      </c>
      <c r="I216" s="18">
        <v>6635.8</v>
      </c>
      <c r="J216" s="18">
        <v>2208.9499999999998</v>
      </c>
      <c r="K216" s="18">
        <v>2294.66</v>
      </c>
      <c r="L216" s="19">
        <f>SUM(F216:K216)</f>
        <v>934135.78999999992</v>
      </c>
      <c r="M216" s="8"/>
      <c r="N216" s="266"/>
    </row>
    <row r="217" spans="1:14" s="3" customFormat="1" ht="12.2" customHeight="1" x14ac:dyDescent="0.15">
      <c r="A217" s="1" t="s">
        <v>440</v>
      </c>
      <c r="B217" s="2" t="s">
        <v>346</v>
      </c>
      <c r="C217" s="2" t="s">
        <v>292</v>
      </c>
      <c r="D217" s="2" t="s">
        <v>431</v>
      </c>
      <c r="E217" s="6">
        <v>1300</v>
      </c>
      <c r="F217" s="18">
        <v>0</v>
      </c>
      <c r="G217" s="18">
        <v>0</v>
      </c>
      <c r="H217" s="18">
        <v>116955.14</v>
      </c>
      <c r="I217" s="18">
        <v>0</v>
      </c>
      <c r="J217" s="18">
        <v>0</v>
      </c>
      <c r="K217" s="18">
        <v>0</v>
      </c>
      <c r="L217" s="19">
        <f>SUM(F217:K217)</f>
        <v>116955.14</v>
      </c>
      <c r="M217" s="8"/>
      <c r="N217" s="266"/>
    </row>
    <row r="218" spans="1:14" s="3" customFormat="1" ht="12.2" customHeight="1" x14ac:dyDescent="0.15">
      <c r="A218" s="1" t="s">
        <v>441</v>
      </c>
      <c r="B218" s="2" t="s">
        <v>346</v>
      </c>
      <c r="C218" s="2" t="s">
        <v>293</v>
      </c>
      <c r="D218" s="2" t="s">
        <v>431</v>
      </c>
      <c r="E218" s="6">
        <v>1400</v>
      </c>
      <c r="F218" s="18">
        <v>35210.89</v>
      </c>
      <c r="G218" s="18">
        <v>6953.43</v>
      </c>
      <c r="H218" s="18">
        <v>0</v>
      </c>
      <c r="I218" s="18">
        <v>3637.57</v>
      </c>
      <c r="J218" s="18">
        <v>0</v>
      </c>
      <c r="K218" s="18">
        <v>5221</v>
      </c>
      <c r="L218" s="19">
        <f>SUM(F218:K218)</f>
        <v>51022.89</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225762.52</v>
      </c>
      <c r="G220" s="18">
        <v>119858.77</v>
      </c>
      <c r="H220" s="18">
        <v>80889.55</v>
      </c>
      <c r="I220" s="18">
        <v>6113.4</v>
      </c>
      <c r="J220" s="18">
        <v>4678.34</v>
      </c>
      <c r="K220" s="18">
        <v>0</v>
      </c>
      <c r="L220" s="19">
        <f t="shared" ref="L220:L226" si="2">SUM(F220:K220)</f>
        <v>437302.58</v>
      </c>
      <c r="M220" s="8"/>
      <c r="N220" s="266"/>
    </row>
    <row r="221" spans="1:14" s="3" customFormat="1" ht="12.2" customHeight="1" x14ac:dyDescent="0.15">
      <c r="A221" s="1" t="s">
        <v>443</v>
      </c>
      <c r="B221" s="2" t="s">
        <v>346</v>
      </c>
      <c r="C221" s="2" t="s">
        <v>295</v>
      </c>
      <c r="D221" s="2" t="s">
        <v>431</v>
      </c>
      <c r="E221" s="6">
        <v>2200</v>
      </c>
      <c r="F221" s="18">
        <v>94755.77</v>
      </c>
      <c r="G221" s="18">
        <v>77009.460000000006</v>
      </c>
      <c r="H221" s="18">
        <v>1400</v>
      </c>
      <c r="I221" s="18">
        <v>19798.59</v>
      </c>
      <c r="J221" s="18">
        <v>82258.77</v>
      </c>
      <c r="K221" s="18">
        <v>44830.559999999998</v>
      </c>
      <c r="L221" s="19">
        <f t="shared" si="2"/>
        <v>320053.15000000002</v>
      </c>
      <c r="M221" s="8"/>
      <c r="N221" s="266"/>
    </row>
    <row r="222" spans="1:14" s="3" customFormat="1" ht="12.2" customHeight="1" x14ac:dyDescent="0.15">
      <c r="A222" s="1" t="s">
        <v>444</v>
      </c>
      <c r="B222" s="2" t="s">
        <v>346</v>
      </c>
      <c r="C222" s="2" t="s">
        <v>296</v>
      </c>
      <c r="D222" s="2" t="s">
        <v>431</v>
      </c>
      <c r="E222" s="6">
        <v>2300</v>
      </c>
      <c r="F222" s="18">
        <v>3456.98</v>
      </c>
      <c r="G222" s="18">
        <v>13726.43</v>
      </c>
      <c r="H222" s="18">
        <v>224319.03</v>
      </c>
      <c r="I222" s="18">
        <v>416.71</v>
      </c>
      <c r="J222" s="18">
        <v>0</v>
      </c>
      <c r="K222" s="18">
        <v>4764.08</v>
      </c>
      <c r="L222" s="19">
        <f t="shared" si="2"/>
        <v>246683.22999999998</v>
      </c>
      <c r="M222" s="8"/>
      <c r="N222" s="266"/>
    </row>
    <row r="223" spans="1:14" s="3" customFormat="1" ht="12.2" customHeight="1" x14ac:dyDescent="0.15">
      <c r="A223" s="1" t="s">
        <v>445</v>
      </c>
      <c r="B223" s="2" t="s">
        <v>346</v>
      </c>
      <c r="C223" s="2" t="s">
        <v>297</v>
      </c>
      <c r="D223" s="2" t="s">
        <v>431</v>
      </c>
      <c r="E223" s="6">
        <v>2400</v>
      </c>
      <c r="F223" s="18">
        <v>269504.53000000003</v>
      </c>
      <c r="G223" s="18">
        <v>120655.52</v>
      </c>
      <c r="H223" s="18">
        <v>22077.4</v>
      </c>
      <c r="I223" s="18">
        <v>425.07</v>
      </c>
      <c r="J223" s="18">
        <v>0</v>
      </c>
      <c r="K223" s="18">
        <v>295</v>
      </c>
      <c r="L223" s="19">
        <f t="shared" si="2"/>
        <v>412957.52000000008</v>
      </c>
      <c r="M223" s="8"/>
      <c r="N223" s="266"/>
    </row>
    <row r="224" spans="1:14" s="3" customFormat="1" ht="12.2" customHeight="1" x14ac:dyDescent="0.15">
      <c r="A224" s="1" t="s">
        <v>446</v>
      </c>
      <c r="B224" s="2" t="s">
        <v>346</v>
      </c>
      <c r="C224" s="2" t="s">
        <v>298</v>
      </c>
      <c r="D224" s="2" t="s">
        <v>431</v>
      </c>
      <c r="E224" s="6">
        <v>2500</v>
      </c>
      <c r="F224" s="18">
        <v>0</v>
      </c>
      <c r="G224" s="18">
        <v>0</v>
      </c>
      <c r="H224" s="18">
        <v>0</v>
      </c>
      <c r="I224" s="18">
        <v>0</v>
      </c>
      <c r="J224" s="18">
        <v>0</v>
      </c>
      <c r="K224" s="18">
        <v>0</v>
      </c>
      <c r="L224" s="19">
        <f t="shared" si="2"/>
        <v>0</v>
      </c>
      <c r="M224" s="8"/>
      <c r="N224" s="266"/>
    </row>
    <row r="225" spans="1:14" s="3" customFormat="1" ht="12.2" customHeight="1" x14ac:dyDescent="0.15">
      <c r="A225" s="1" t="s">
        <v>447</v>
      </c>
      <c r="B225" s="2" t="s">
        <v>346</v>
      </c>
      <c r="C225" s="2" t="s">
        <v>299</v>
      </c>
      <c r="D225" s="2" t="s">
        <v>431</v>
      </c>
      <c r="E225" s="6">
        <v>2600</v>
      </c>
      <c r="F225" s="18">
        <v>154324.78</v>
      </c>
      <c r="G225" s="18">
        <v>64183.48</v>
      </c>
      <c r="H225" s="18">
        <v>251543.31</v>
      </c>
      <c r="I225" s="18">
        <v>234599.62</v>
      </c>
      <c r="J225" s="18">
        <v>5517</v>
      </c>
      <c r="K225" s="18">
        <v>0</v>
      </c>
      <c r="L225" s="19">
        <f t="shared" si="2"/>
        <v>710168.19</v>
      </c>
      <c r="M225" s="8"/>
      <c r="N225" s="266"/>
    </row>
    <row r="226" spans="1:14" s="3" customFormat="1" ht="12.2" customHeight="1" x14ac:dyDescent="0.15">
      <c r="A226" s="1" t="s">
        <v>448</v>
      </c>
      <c r="B226" s="2" t="s">
        <v>346</v>
      </c>
      <c r="C226" s="2" t="s">
        <v>300</v>
      </c>
      <c r="D226" s="2" t="s">
        <v>431</v>
      </c>
      <c r="E226" s="6">
        <v>2700</v>
      </c>
      <c r="F226" s="18">
        <v>0</v>
      </c>
      <c r="G226" s="18">
        <v>0</v>
      </c>
      <c r="H226" s="18">
        <v>385201.93</v>
      </c>
      <c r="I226" s="18">
        <v>0</v>
      </c>
      <c r="J226" s="18">
        <v>0</v>
      </c>
      <c r="K226" s="18">
        <v>0</v>
      </c>
      <c r="L226" s="19">
        <f t="shared" si="2"/>
        <v>385201.93</v>
      </c>
      <c r="M226" s="8"/>
      <c r="N226" s="266"/>
    </row>
    <row r="227" spans="1:14" s="3" customFormat="1" ht="12.2" customHeight="1" x14ac:dyDescent="0.15">
      <c r="A227" s="1" t="s">
        <v>449</v>
      </c>
      <c r="B227" s="2" t="s">
        <v>346</v>
      </c>
      <c r="C227" s="2" t="s">
        <v>343</v>
      </c>
      <c r="D227" s="2" t="s">
        <v>431</v>
      </c>
      <c r="E227" s="6">
        <v>2800</v>
      </c>
      <c r="F227" s="18">
        <v>0</v>
      </c>
      <c r="G227" s="18"/>
      <c r="H227" s="18">
        <v>0</v>
      </c>
      <c r="I227" s="18">
        <v>0</v>
      </c>
      <c r="J227" s="18">
        <v>0</v>
      </c>
      <c r="K227" s="18">
        <v>0</v>
      </c>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2760761.7299999991</v>
      </c>
      <c r="G229" s="41">
        <f>SUM(G215:G228)</f>
        <v>1351933.13</v>
      </c>
      <c r="H229" s="41">
        <f>SUM(H215:H228)</f>
        <v>1202503.3699999999</v>
      </c>
      <c r="I229" s="41">
        <f>SUM(I215:I228)</f>
        <v>344002.69</v>
      </c>
      <c r="J229" s="41">
        <f>SUM(J215:J228)</f>
        <v>115199.25</v>
      </c>
      <c r="K229" s="41">
        <f t="shared" si="3"/>
        <v>58879.89</v>
      </c>
      <c r="L229" s="41">
        <f t="shared" si="3"/>
        <v>5833280.0600000005</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0</v>
      </c>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6524475.0499999989</v>
      </c>
      <c r="G257" s="41">
        <f t="shared" si="8"/>
        <v>3328187.16</v>
      </c>
      <c r="H257" s="41">
        <f t="shared" si="8"/>
        <v>2637812.4500000002</v>
      </c>
      <c r="I257" s="41">
        <f t="shared" si="8"/>
        <v>588174.69999999995</v>
      </c>
      <c r="J257" s="41">
        <f t="shared" si="8"/>
        <v>337179.06</v>
      </c>
      <c r="K257" s="41">
        <f t="shared" si="8"/>
        <v>114368.87</v>
      </c>
      <c r="L257" s="41">
        <f t="shared" si="8"/>
        <v>13530197.290000001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910000</v>
      </c>
      <c r="L260" s="19">
        <f>SUM(F260:K260)</f>
        <v>910000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128310</v>
      </c>
      <c r="L261" s="19">
        <f>SUM(F261:K261)</f>
        <v>128310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0</v>
      </c>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0</v>
      </c>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0</v>
      </c>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1038310</v>
      </c>
      <c r="L270" s="41">
        <f t="shared" si="9"/>
        <v>1038310</v>
      </c>
      <c r="N270" s="264"/>
    </row>
    <row r="271" spans="1:14" s="3" customFormat="1" ht="12.2" customHeight="1" thickTop="1" x14ac:dyDescent="0.2">
      <c r="A271" s="43" t="s">
        <v>464</v>
      </c>
      <c r="B271" s="40">
        <v>10</v>
      </c>
      <c r="C271" s="40">
        <v>18</v>
      </c>
      <c r="D271" s="39" t="s">
        <v>431</v>
      </c>
      <c r="E271" s="40"/>
      <c r="F271" s="42">
        <f t="shared" ref="F271:L271" si="11">F257+F270</f>
        <v>6524475.0499999989</v>
      </c>
      <c r="G271" s="42">
        <f t="shared" si="11"/>
        <v>3328187.16</v>
      </c>
      <c r="H271" s="42">
        <f t="shared" si="11"/>
        <v>2637812.4500000002</v>
      </c>
      <c r="I271" s="42">
        <f t="shared" si="11"/>
        <v>588174.69999999995</v>
      </c>
      <c r="J271" s="42">
        <f t="shared" si="11"/>
        <v>337179.06</v>
      </c>
      <c r="K271" s="42">
        <f t="shared" si="11"/>
        <v>1152678.8700000001</v>
      </c>
      <c r="L271" s="42">
        <f t="shared" si="11"/>
        <v>14568507.290000001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250</v>
      </c>
      <c r="G276" s="18">
        <v>0</v>
      </c>
      <c r="H276" s="18">
        <v>0</v>
      </c>
      <c r="I276" s="18">
        <v>2057</v>
      </c>
      <c r="J276" s="18">
        <v>0</v>
      </c>
      <c r="K276" s="18">
        <v>0</v>
      </c>
      <c r="L276" s="19">
        <f>SUM(F276:K276)</f>
        <v>2307</v>
      </c>
      <c r="M276" s="8"/>
      <c r="N276" s="266"/>
    </row>
    <row r="277" spans="1:14" s="3" customFormat="1" ht="12.2" customHeight="1" x14ac:dyDescent="0.15">
      <c r="A277" s="1" t="s">
        <v>439</v>
      </c>
      <c r="B277" s="2" t="s">
        <v>357</v>
      </c>
      <c r="C277" s="2" t="s">
        <v>291</v>
      </c>
      <c r="D277" s="2" t="s">
        <v>431</v>
      </c>
      <c r="E277" s="6">
        <v>1200</v>
      </c>
      <c r="F277" s="18">
        <v>0</v>
      </c>
      <c r="G277" s="18">
        <v>0</v>
      </c>
      <c r="H277" s="18">
        <v>0</v>
      </c>
      <c r="I277" s="18">
        <v>0</v>
      </c>
      <c r="J277" s="18">
        <v>0</v>
      </c>
      <c r="K277" s="18">
        <v>0</v>
      </c>
      <c r="L277" s="19">
        <f>SUM(F277:K277)</f>
        <v>0</v>
      </c>
      <c r="M277" s="8"/>
      <c r="N277" s="266"/>
    </row>
    <row r="278" spans="1:14" s="3" customFormat="1" ht="12.2" customHeight="1" x14ac:dyDescent="0.15">
      <c r="A278" s="1" t="s">
        <v>440</v>
      </c>
      <c r="B278" s="2" t="s">
        <v>357</v>
      </c>
      <c r="C278" s="2" t="s">
        <v>292</v>
      </c>
      <c r="D278" s="2" t="s">
        <v>431</v>
      </c>
      <c r="E278" s="6">
        <v>1300</v>
      </c>
      <c r="F278" s="18">
        <v>0</v>
      </c>
      <c r="G278" s="18">
        <v>0</v>
      </c>
      <c r="H278" s="18">
        <v>0</v>
      </c>
      <c r="I278" s="18">
        <v>0</v>
      </c>
      <c r="J278" s="18">
        <v>0</v>
      </c>
      <c r="K278" s="18">
        <v>0</v>
      </c>
      <c r="L278" s="19">
        <f>SUM(F278:K278)</f>
        <v>0</v>
      </c>
      <c r="M278" s="8"/>
      <c r="N278" s="266"/>
    </row>
    <row r="279" spans="1:14" s="3" customFormat="1" ht="12.2" customHeight="1" x14ac:dyDescent="0.15">
      <c r="A279" s="1" t="s">
        <v>441</v>
      </c>
      <c r="B279" s="2" t="s">
        <v>357</v>
      </c>
      <c r="C279" s="2" t="s">
        <v>293</v>
      </c>
      <c r="D279" s="2" t="s">
        <v>431</v>
      </c>
      <c r="E279" s="6">
        <v>1400</v>
      </c>
      <c r="F279" s="18">
        <v>0</v>
      </c>
      <c r="G279" s="18">
        <v>0</v>
      </c>
      <c r="H279" s="18">
        <v>0</v>
      </c>
      <c r="I279" s="18">
        <v>0</v>
      </c>
      <c r="J279" s="18">
        <v>0</v>
      </c>
      <c r="K279" s="18">
        <v>0</v>
      </c>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0</v>
      </c>
      <c r="G281" s="18">
        <v>0</v>
      </c>
      <c r="H281" s="18">
        <v>0</v>
      </c>
      <c r="I281" s="18">
        <v>0</v>
      </c>
      <c r="J281" s="18">
        <v>0</v>
      </c>
      <c r="K281" s="18">
        <v>0</v>
      </c>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10562.5</v>
      </c>
      <c r="G282" s="18">
        <v>2455.9299999999998</v>
      </c>
      <c r="H282" s="18">
        <v>5463.82</v>
      </c>
      <c r="I282" s="18">
        <v>0</v>
      </c>
      <c r="J282" s="18">
        <v>0</v>
      </c>
      <c r="K282" s="18">
        <v>947.62</v>
      </c>
      <c r="L282" s="19">
        <f t="shared" si="12"/>
        <v>19429.87</v>
      </c>
      <c r="M282" s="8"/>
      <c r="N282" s="266"/>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0</v>
      </c>
      <c r="L283" s="19">
        <f t="shared" si="12"/>
        <v>0</v>
      </c>
      <c r="M283" s="8"/>
      <c r="N283" s="266"/>
    </row>
    <row r="284" spans="1:14" s="3" customFormat="1" ht="12.2" customHeight="1" x14ac:dyDescent="0.15">
      <c r="A284" s="1" t="s">
        <v>445</v>
      </c>
      <c r="B284" s="2" t="s">
        <v>357</v>
      </c>
      <c r="C284" s="2" t="s">
        <v>297</v>
      </c>
      <c r="D284" s="2" t="s">
        <v>431</v>
      </c>
      <c r="E284" s="6">
        <v>2400</v>
      </c>
      <c r="F284" s="18">
        <v>0</v>
      </c>
      <c r="G284" s="18">
        <v>0</v>
      </c>
      <c r="H284" s="18">
        <v>0</v>
      </c>
      <c r="I284" s="18">
        <v>0</v>
      </c>
      <c r="J284" s="18">
        <v>0</v>
      </c>
      <c r="K284" s="18">
        <v>0</v>
      </c>
      <c r="L284" s="19">
        <f t="shared" si="12"/>
        <v>0</v>
      </c>
      <c r="M284" s="8"/>
      <c r="N284" s="266"/>
    </row>
    <row r="285" spans="1:14" s="3" customFormat="1" ht="12.2" customHeight="1" x14ac:dyDescent="0.15">
      <c r="A285" s="1" t="s">
        <v>446</v>
      </c>
      <c r="B285" s="2" t="s">
        <v>357</v>
      </c>
      <c r="C285" s="2" t="s">
        <v>298</v>
      </c>
      <c r="D285" s="2" t="s">
        <v>431</v>
      </c>
      <c r="E285" s="6">
        <v>2500</v>
      </c>
      <c r="F285" s="18">
        <v>0</v>
      </c>
      <c r="G285" s="18">
        <v>0</v>
      </c>
      <c r="H285" s="18">
        <v>0</v>
      </c>
      <c r="I285" s="18">
        <v>0</v>
      </c>
      <c r="J285" s="18">
        <v>0</v>
      </c>
      <c r="K285" s="18">
        <v>0</v>
      </c>
      <c r="L285" s="19">
        <f t="shared" si="12"/>
        <v>0</v>
      </c>
      <c r="M285" s="8"/>
      <c r="N285" s="266"/>
    </row>
    <row r="286" spans="1:14" s="3" customFormat="1" ht="12.2" customHeight="1" x14ac:dyDescent="0.15">
      <c r="A286" s="1" t="s">
        <v>447</v>
      </c>
      <c r="B286" s="2" t="s">
        <v>357</v>
      </c>
      <c r="C286" s="2" t="s">
        <v>299</v>
      </c>
      <c r="D286" s="2" t="s">
        <v>431</v>
      </c>
      <c r="E286" s="6">
        <v>2600</v>
      </c>
      <c r="F286" s="18">
        <v>0</v>
      </c>
      <c r="G286" s="18">
        <v>0</v>
      </c>
      <c r="H286" s="18">
        <v>0</v>
      </c>
      <c r="I286" s="18">
        <v>0</v>
      </c>
      <c r="J286" s="18">
        <v>40000</v>
      </c>
      <c r="K286" s="18">
        <v>0</v>
      </c>
      <c r="L286" s="19">
        <f t="shared" si="12"/>
        <v>40000</v>
      </c>
      <c r="M286" s="8"/>
      <c r="N286" s="266"/>
    </row>
    <row r="287" spans="1:14" s="3" customFormat="1" ht="12.2" customHeight="1" x14ac:dyDescent="0.15">
      <c r="A287" s="1" t="s">
        <v>448</v>
      </c>
      <c r="B287" s="2" t="s">
        <v>357</v>
      </c>
      <c r="C287" s="2" t="s">
        <v>300</v>
      </c>
      <c r="D287" s="2" t="s">
        <v>431</v>
      </c>
      <c r="E287" s="6">
        <v>2700</v>
      </c>
      <c r="F287" s="18">
        <v>0</v>
      </c>
      <c r="G287" s="18">
        <v>0</v>
      </c>
      <c r="H287" s="18">
        <v>0</v>
      </c>
      <c r="I287" s="18">
        <v>0</v>
      </c>
      <c r="J287" s="18">
        <v>0</v>
      </c>
      <c r="K287" s="18">
        <v>0</v>
      </c>
      <c r="L287" s="19">
        <f t="shared" si="12"/>
        <v>0</v>
      </c>
      <c r="M287" s="8"/>
      <c r="N287" s="266"/>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10812.5</v>
      </c>
      <c r="G290" s="42">
        <f t="shared" si="13"/>
        <v>2455.9299999999998</v>
      </c>
      <c r="H290" s="42">
        <f t="shared" si="13"/>
        <v>5463.82</v>
      </c>
      <c r="I290" s="42">
        <f t="shared" si="13"/>
        <v>2057</v>
      </c>
      <c r="J290" s="42">
        <f t="shared" si="13"/>
        <v>40000</v>
      </c>
      <c r="K290" s="42">
        <f t="shared" si="13"/>
        <v>947.62</v>
      </c>
      <c r="L290" s="41">
        <f t="shared" si="13"/>
        <v>61736.869999999995</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991.15</v>
      </c>
      <c r="G295" s="18">
        <v>247.88</v>
      </c>
      <c r="H295" s="18">
        <v>0</v>
      </c>
      <c r="I295" s="18">
        <v>0</v>
      </c>
      <c r="J295" s="18">
        <v>0</v>
      </c>
      <c r="K295" s="18">
        <v>0</v>
      </c>
      <c r="L295" s="19">
        <f>SUM(F295:K295)</f>
        <v>1239.03</v>
      </c>
      <c r="M295" s="8"/>
      <c r="N295" s="266"/>
    </row>
    <row r="296" spans="1:14" s="3" customFormat="1" ht="12.2" customHeight="1" x14ac:dyDescent="0.15">
      <c r="A296" s="1" t="s">
        <v>439</v>
      </c>
      <c r="B296" s="2" t="s">
        <v>358</v>
      </c>
      <c r="C296" s="2" t="s">
        <v>291</v>
      </c>
      <c r="D296" s="2" t="s">
        <v>431</v>
      </c>
      <c r="E296" s="6">
        <v>1200</v>
      </c>
      <c r="F296" s="18">
        <v>0</v>
      </c>
      <c r="G296" s="18">
        <v>0</v>
      </c>
      <c r="H296" s="18">
        <v>0</v>
      </c>
      <c r="I296" s="18">
        <v>0</v>
      </c>
      <c r="J296" s="18">
        <v>0</v>
      </c>
      <c r="K296" s="18">
        <v>0</v>
      </c>
      <c r="L296" s="19">
        <f>SUM(F296:K296)</f>
        <v>0</v>
      </c>
      <c r="M296" s="8"/>
      <c r="N296" s="266"/>
    </row>
    <row r="297" spans="1:14" s="3" customFormat="1" ht="12.2" customHeight="1" x14ac:dyDescent="0.15">
      <c r="A297" s="1" t="s">
        <v>440</v>
      </c>
      <c r="B297" s="2" t="s">
        <v>358</v>
      </c>
      <c r="C297" s="2" t="s">
        <v>292</v>
      </c>
      <c r="D297" s="2" t="s">
        <v>431</v>
      </c>
      <c r="E297" s="6">
        <v>1300</v>
      </c>
      <c r="F297" s="18">
        <v>0</v>
      </c>
      <c r="G297" s="18">
        <v>0</v>
      </c>
      <c r="H297" s="18">
        <v>0</v>
      </c>
      <c r="I297" s="18">
        <v>0</v>
      </c>
      <c r="J297" s="18">
        <v>0</v>
      </c>
      <c r="K297" s="18">
        <v>0</v>
      </c>
      <c r="L297" s="19">
        <f>SUM(F297:K297)</f>
        <v>0</v>
      </c>
      <c r="M297" s="8"/>
      <c r="N297" s="266"/>
    </row>
    <row r="298" spans="1:14" s="3" customFormat="1" ht="12.2" customHeight="1" x14ac:dyDescent="0.15">
      <c r="A298" s="1" t="s">
        <v>441</v>
      </c>
      <c r="B298" s="2" t="s">
        <v>358</v>
      </c>
      <c r="C298" s="2" t="s">
        <v>293</v>
      </c>
      <c r="D298" s="2" t="s">
        <v>431</v>
      </c>
      <c r="E298" s="6">
        <v>1400</v>
      </c>
      <c r="F298" s="18">
        <v>0</v>
      </c>
      <c r="G298" s="18">
        <v>0</v>
      </c>
      <c r="H298" s="18">
        <v>920</v>
      </c>
      <c r="I298" s="18">
        <v>9308.7999999999993</v>
      </c>
      <c r="J298" s="18">
        <v>0</v>
      </c>
      <c r="K298" s="18">
        <v>0</v>
      </c>
      <c r="L298" s="19">
        <f>SUM(F298:K298)</f>
        <v>10228.799999999999</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0</v>
      </c>
      <c r="G300" s="18">
        <v>0</v>
      </c>
      <c r="H300" s="18">
        <v>0</v>
      </c>
      <c r="I300" s="18">
        <v>0</v>
      </c>
      <c r="J300" s="18">
        <v>0</v>
      </c>
      <c r="K300" s="18">
        <v>0</v>
      </c>
      <c r="L300" s="19">
        <f t="shared" ref="L300:L306" si="14">SUM(F300:K300)</f>
        <v>0</v>
      </c>
      <c r="M300" s="8"/>
      <c r="N300" s="266"/>
    </row>
    <row r="301" spans="1:14" s="3" customFormat="1" ht="12.2" customHeight="1" x14ac:dyDescent="0.15">
      <c r="A301" s="1" t="s">
        <v>443</v>
      </c>
      <c r="B301" s="2" t="s">
        <v>358</v>
      </c>
      <c r="C301" s="2" t="s">
        <v>295</v>
      </c>
      <c r="D301" s="2" t="s">
        <v>431</v>
      </c>
      <c r="E301" s="6">
        <v>2200</v>
      </c>
      <c r="F301" s="18">
        <v>13463.32</v>
      </c>
      <c r="G301" s="18">
        <v>2937.81</v>
      </c>
      <c r="H301" s="18">
        <v>2318.2600000000002</v>
      </c>
      <c r="I301" s="18">
        <v>0</v>
      </c>
      <c r="J301" s="18">
        <v>0</v>
      </c>
      <c r="K301" s="18">
        <v>74.3</v>
      </c>
      <c r="L301" s="19">
        <f t="shared" si="14"/>
        <v>18793.689999999999</v>
      </c>
      <c r="M301" s="8"/>
      <c r="N301" s="266"/>
    </row>
    <row r="302" spans="1:14" s="3" customFormat="1" ht="12.2" customHeight="1" x14ac:dyDescent="0.15">
      <c r="A302" s="1" t="s">
        <v>444</v>
      </c>
      <c r="B302" s="2" t="s">
        <v>358</v>
      </c>
      <c r="C302" s="2" t="s">
        <v>296</v>
      </c>
      <c r="D302" s="2" t="s">
        <v>431</v>
      </c>
      <c r="E302" s="6">
        <v>2300</v>
      </c>
      <c r="F302" s="18">
        <v>0</v>
      </c>
      <c r="G302" s="18">
        <v>0</v>
      </c>
      <c r="H302" s="18">
        <v>0</v>
      </c>
      <c r="I302" s="18">
        <v>0</v>
      </c>
      <c r="J302" s="18">
        <v>0</v>
      </c>
      <c r="K302" s="18">
        <v>0</v>
      </c>
      <c r="L302" s="19">
        <f t="shared" si="14"/>
        <v>0</v>
      </c>
      <c r="M302" s="8"/>
      <c r="N302" s="266"/>
    </row>
    <row r="303" spans="1:14" s="3" customFormat="1" ht="12.2" customHeight="1" x14ac:dyDescent="0.15">
      <c r="A303" s="1" t="s">
        <v>445</v>
      </c>
      <c r="B303" s="2" t="s">
        <v>358</v>
      </c>
      <c r="C303" s="2" t="s">
        <v>297</v>
      </c>
      <c r="D303" s="2" t="s">
        <v>431</v>
      </c>
      <c r="E303" s="6">
        <v>2400</v>
      </c>
      <c r="F303" s="18">
        <v>0</v>
      </c>
      <c r="G303" s="18">
        <v>0</v>
      </c>
      <c r="H303" s="18">
        <v>0</v>
      </c>
      <c r="I303" s="18">
        <v>0</v>
      </c>
      <c r="J303" s="18">
        <v>0</v>
      </c>
      <c r="K303" s="18">
        <v>0</v>
      </c>
      <c r="L303" s="19">
        <f t="shared" si="14"/>
        <v>0</v>
      </c>
      <c r="M303" s="8"/>
      <c r="N303" s="266"/>
    </row>
    <row r="304" spans="1:14" s="3" customFormat="1" ht="12.2" customHeight="1" x14ac:dyDescent="0.15">
      <c r="A304" s="1" t="s">
        <v>446</v>
      </c>
      <c r="B304" s="2" t="s">
        <v>358</v>
      </c>
      <c r="C304" s="2" t="s">
        <v>298</v>
      </c>
      <c r="D304" s="2" t="s">
        <v>431</v>
      </c>
      <c r="E304" s="6">
        <v>2500</v>
      </c>
      <c r="F304" s="18">
        <v>0</v>
      </c>
      <c r="G304" s="18">
        <v>0</v>
      </c>
      <c r="H304" s="18">
        <v>0</v>
      </c>
      <c r="I304" s="18">
        <v>0</v>
      </c>
      <c r="J304" s="18">
        <v>0</v>
      </c>
      <c r="K304" s="18">
        <v>0</v>
      </c>
      <c r="L304" s="19">
        <f t="shared" si="14"/>
        <v>0</v>
      </c>
      <c r="M304" s="8"/>
      <c r="N304" s="266"/>
    </row>
    <row r="305" spans="1:14" s="3" customFormat="1" ht="12.2" customHeight="1" x14ac:dyDescent="0.15">
      <c r="A305" s="1" t="s">
        <v>447</v>
      </c>
      <c r="B305" s="2" t="s">
        <v>358</v>
      </c>
      <c r="C305" s="2" t="s">
        <v>299</v>
      </c>
      <c r="D305" s="2" t="s">
        <v>431</v>
      </c>
      <c r="E305" s="6">
        <v>2600</v>
      </c>
      <c r="F305" s="18">
        <v>0</v>
      </c>
      <c r="G305" s="18">
        <v>0</v>
      </c>
      <c r="H305" s="18">
        <v>0</v>
      </c>
      <c r="I305" s="18">
        <v>0</v>
      </c>
      <c r="J305" s="18">
        <v>0</v>
      </c>
      <c r="K305" s="18">
        <v>0</v>
      </c>
      <c r="L305" s="19">
        <f t="shared" si="14"/>
        <v>0</v>
      </c>
      <c r="M305" s="8"/>
      <c r="N305" s="266"/>
    </row>
    <row r="306" spans="1:14" s="3" customFormat="1" ht="12.2" customHeight="1" x14ac:dyDescent="0.15">
      <c r="A306" s="1" t="s">
        <v>448</v>
      </c>
      <c r="B306" s="2" t="s">
        <v>358</v>
      </c>
      <c r="C306" s="2" t="s">
        <v>300</v>
      </c>
      <c r="D306" s="2" t="s">
        <v>431</v>
      </c>
      <c r="E306" s="6">
        <v>2700</v>
      </c>
      <c r="F306" s="18">
        <v>0</v>
      </c>
      <c r="G306" s="18">
        <v>0</v>
      </c>
      <c r="H306" s="18">
        <v>0</v>
      </c>
      <c r="I306" s="18">
        <v>0</v>
      </c>
      <c r="J306" s="18">
        <v>0</v>
      </c>
      <c r="K306" s="18">
        <v>0</v>
      </c>
      <c r="L306" s="19">
        <f t="shared" si="14"/>
        <v>0</v>
      </c>
      <c r="M306" s="8"/>
      <c r="N306" s="266"/>
    </row>
    <row r="307" spans="1:14" s="3" customFormat="1" ht="12.2" customHeight="1" x14ac:dyDescent="0.15">
      <c r="A307" s="1" t="s">
        <v>449</v>
      </c>
      <c r="B307" s="2" t="s">
        <v>358</v>
      </c>
      <c r="C307" s="2" t="s">
        <v>343</v>
      </c>
      <c r="D307" s="2" t="s">
        <v>431</v>
      </c>
      <c r="E307" s="6">
        <v>2800</v>
      </c>
      <c r="F307" s="18">
        <v>0</v>
      </c>
      <c r="G307" s="18"/>
      <c r="H307" s="18">
        <v>0</v>
      </c>
      <c r="I307" s="18">
        <v>0</v>
      </c>
      <c r="J307" s="18">
        <v>0</v>
      </c>
      <c r="K307" s="18">
        <v>0</v>
      </c>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14454.47</v>
      </c>
      <c r="G309" s="42">
        <f t="shared" si="15"/>
        <v>3185.69</v>
      </c>
      <c r="H309" s="42">
        <f t="shared" si="15"/>
        <v>3238.26</v>
      </c>
      <c r="I309" s="42">
        <f t="shared" si="15"/>
        <v>9308.7999999999993</v>
      </c>
      <c r="J309" s="42">
        <f t="shared" si="15"/>
        <v>0</v>
      </c>
      <c r="K309" s="42">
        <f t="shared" si="15"/>
        <v>74.3</v>
      </c>
      <c r="L309" s="41">
        <f t="shared" si="15"/>
        <v>30261.519999999997</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v>0</v>
      </c>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25266.97</v>
      </c>
      <c r="G338" s="41">
        <f t="shared" si="20"/>
        <v>5641.62</v>
      </c>
      <c r="H338" s="41">
        <f t="shared" si="20"/>
        <v>8702.08</v>
      </c>
      <c r="I338" s="41">
        <f t="shared" si="20"/>
        <v>11365.8</v>
      </c>
      <c r="J338" s="41">
        <f t="shared" si="20"/>
        <v>40000</v>
      </c>
      <c r="K338" s="41">
        <f t="shared" si="20"/>
        <v>1021.92</v>
      </c>
      <c r="L338" s="41">
        <f t="shared" si="20"/>
        <v>91998.389999999985</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v>0</v>
      </c>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25266.97</v>
      </c>
      <c r="G352" s="41">
        <f>G338</f>
        <v>5641.62</v>
      </c>
      <c r="H352" s="41">
        <f>H338</f>
        <v>8702.08</v>
      </c>
      <c r="I352" s="41">
        <f>I338</f>
        <v>11365.8</v>
      </c>
      <c r="J352" s="41">
        <f>J338</f>
        <v>40000</v>
      </c>
      <c r="K352" s="47">
        <f>K338+K351</f>
        <v>1021.92</v>
      </c>
      <c r="L352" s="41">
        <f>L338+L351</f>
        <v>91998.389999999985</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0</v>
      </c>
      <c r="G358" s="18">
        <v>0</v>
      </c>
      <c r="H358" s="18">
        <v>175513.5</v>
      </c>
      <c r="I358" s="18">
        <v>0</v>
      </c>
      <c r="J358" s="18">
        <v>4708.3900000000003</v>
      </c>
      <c r="K358" s="18">
        <v>76</v>
      </c>
      <c r="L358" s="13">
        <f>SUM(F358:K358)</f>
        <v>180297.89</v>
      </c>
      <c r="N358" s="264"/>
      <c r="R358" s="3"/>
      <c r="S358" s="3"/>
      <c r="T358" s="3"/>
      <c r="U358" s="3"/>
      <c r="V358" s="3"/>
    </row>
    <row r="359" spans="1:22" s="3" customFormat="1" ht="12.2" customHeight="1" x14ac:dyDescent="0.15">
      <c r="A359" s="1" t="s">
        <v>542</v>
      </c>
      <c r="B359" s="2" t="s">
        <v>366</v>
      </c>
      <c r="C359" s="6">
        <v>2</v>
      </c>
      <c r="D359" s="2" t="s">
        <v>431</v>
      </c>
      <c r="E359" s="6"/>
      <c r="F359" s="18">
        <v>0</v>
      </c>
      <c r="G359" s="18">
        <v>0</v>
      </c>
      <c r="H359" s="18">
        <v>179773.5</v>
      </c>
      <c r="I359" s="18">
        <v>0</v>
      </c>
      <c r="J359" s="18">
        <v>4708.37</v>
      </c>
      <c r="K359" s="18">
        <v>1386.1</v>
      </c>
      <c r="L359" s="19">
        <f>SUM(F359:K359)</f>
        <v>185867.97</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355287</v>
      </c>
      <c r="I362" s="47">
        <f t="shared" si="22"/>
        <v>0</v>
      </c>
      <c r="J362" s="47">
        <f t="shared" si="22"/>
        <v>9416.76</v>
      </c>
      <c r="K362" s="47">
        <f t="shared" si="22"/>
        <v>1462.1</v>
      </c>
      <c r="L362" s="47">
        <f t="shared" si="22"/>
        <v>366165.86</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0</v>
      </c>
      <c r="G367" s="18">
        <v>0</v>
      </c>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0</v>
      </c>
      <c r="G368" s="63">
        <v>0</v>
      </c>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v>170.65</v>
      </c>
      <c r="I389" s="18"/>
      <c r="J389" s="24" t="s">
        <v>288</v>
      </c>
      <c r="K389" s="24" t="s">
        <v>288</v>
      </c>
      <c r="L389" s="56">
        <f t="shared" si="25"/>
        <v>170.65</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170.65</v>
      </c>
      <c r="I393" s="65">
        <f>SUM(I387:I392)</f>
        <v>0</v>
      </c>
      <c r="J393" s="45" t="s">
        <v>288</v>
      </c>
      <c r="K393" s="45" t="s">
        <v>288</v>
      </c>
      <c r="L393" s="47">
        <f>SUM(L387:L392)</f>
        <v>170.65</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0</v>
      </c>
      <c r="H396" s="18">
        <v>300.51</v>
      </c>
      <c r="I396" s="18"/>
      <c r="J396" s="24" t="s">
        <v>288</v>
      </c>
      <c r="K396" s="24" t="s">
        <v>288</v>
      </c>
      <c r="L396" s="56">
        <f t="shared" si="26"/>
        <v>300.51</v>
      </c>
      <c r="M396" s="8"/>
      <c r="N396" s="266"/>
    </row>
    <row r="397" spans="1:14" s="3" customFormat="1" ht="12.2" customHeight="1" x14ac:dyDescent="0.15">
      <c r="A397" s="79" t="s">
        <v>515</v>
      </c>
      <c r="B397" s="2" t="s">
        <v>381</v>
      </c>
      <c r="C397" s="6">
        <v>10</v>
      </c>
      <c r="D397" s="2" t="s">
        <v>432</v>
      </c>
      <c r="E397" s="6"/>
      <c r="F397" s="18"/>
      <c r="G397" s="18">
        <v>0</v>
      </c>
      <c r="H397" s="18">
        <v>303.06</v>
      </c>
      <c r="I397" s="18"/>
      <c r="J397" s="24" t="s">
        <v>288</v>
      </c>
      <c r="K397" s="24" t="s">
        <v>288</v>
      </c>
      <c r="L397" s="56">
        <f t="shared" si="26"/>
        <v>303.06</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v>37.1</v>
      </c>
      <c r="I400" s="18"/>
      <c r="J400" s="24" t="s">
        <v>288</v>
      </c>
      <c r="K400" s="24" t="s">
        <v>288</v>
      </c>
      <c r="L400" s="56">
        <f t="shared" si="26"/>
        <v>37.1</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640.66999999999996</v>
      </c>
      <c r="I401" s="47">
        <f>SUM(I395:I400)</f>
        <v>0</v>
      </c>
      <c r="J401" s="45" t="s">
        <v>288</v>
      </c>
      <c r="K401" s="45" t="s">
        <v>288</v>
      </c>
      <c r="L401" s="47">
        <f>SUM(L395:L400)</f>
        <v>640.66999999999996</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811.31999999999994</v>
      </c>
      <c r="I408" s="47">
        <f>I393+I401+I407</f>
        <v>0</v>
      </c>
      <c r="J408" s="24" t="s">
        <v>288</v>
      </c>
      <c r="K408" s="24" t="s">
        <v>288</v>
      </c>
      <c r="L408" s="47">
        <f>L393+L401+L407</f>
        <v>811.31999999999994</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v>0</v>
      </c>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270872.57</v>
      </c>
      <c r="H439" s="18"/>
      <c r="I439" s="56">
        <f t="shared" ref="I439:I445" si="33">SUM(F439:H439)</f>
        <v>270872.57</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270872.57</v>
      </c>
      <c r="H446" s="13">
        <f>SUM(H439:H445)</f>
        <v>0</v>
      </c>
      <c r="I446" s="13">
        <f>SUM(I439:I445)</f>
        <v>270872.57</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v>0</v>
      </c>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270872.57</v>
      </c>
      <c r="H459" s="18"/>
      <c r="I459" s="56">
        <f t="shared" si="34"/>
        <v>270872.57</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270872.57</v>
      </c>
      <c r="H460" s="83">
        <f>SUM(H454:H459)</f>
        <v>0</v>
      </c>
      <c r="I460" s="83">
        <f>SUM(I454:I459)</f>
        <v>270872.57</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270872.57</v>
      </c>
      <c r="H461" s="42">
        <f>H452+H460</f>
        <v>0</v>
      </c>
      <c r="I461" s="42">
        <f>I452+I460</f>
        <v>270872.57</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461354.05</v>
      </c>
      <c r="G465" s="18">
        <v>153073.74</v>
      </c>
      <c r="H465" s="18">
        <v>9590.17</v>
      </c>
      <c r="I465" s="18">
        <v>0</v>
      </c>
      <c r="J465" s="18">
        <v>270061.25</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14422521.98</v>
      </c>
      <c r="G468" s="18">
        <v>343745.78</v>
      </c>
      <c r="H468" s="18">
        <v>92204.54</v>
      </c>
      <c r="I468" s="18">
        <v>0</v>
      </c>
      <c r="J468" s="18">
        <v>811.32</v>
      </c>
      <c r="K468" s="24" t="s">
        <v>288</v>
      </c>
      <c r="L468" s="24" t="s">
        <v>288</v>
      </c>
      <c r="N468" s="265"/>
    </row>
    <row r="469" spans="1:14" s="52" customFormat="1" ht="12.2" customHeight="1" x14ac:dyDescent="0.2">
      <c r="A469" s="93" t="s">
        <v>611</v>
      </c>
      <c r="B469" s="75">
        <v>19</v>
      </c>
      <c r="C469" s="80">
        <v>3</v>
      </c>
      <c r="D469" s="2" t="s">
        <v>432</v>
      </c>
      <c r="E469" s="80"/>
      <c r="F469" s="18">
        <v>9217.7000000000007</v>
      </c>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14431739.68</v>
      </c>
      <c r="G470" s="53">
        <f>SUM(G468:G469)</f>
        <v>343745.78</v>
      </c>
      <c r="H470" s="53">
        <f>SUM(H468:H469)</f>
        <v>92204.54</v>
      </c>
      <c r="I470" s="53">
        <f>SUM(I468:I469)</f>
        <v>0</v>
      </c>
      <c r="J470" s="53">
        <f>SUM(J468:J469)</f>
        <v>811.32</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14568507.289999999</v>
      </c>
      <c r="G472" s="18">
        <v>366165.86</v>
      </c>
      <c r="H472" s="18">
        <v>91998.39</v>
      </c>
      <c r="I472" s="18">
        <v>0</v>
      </c>
      <c r="J472" s="18">
        <v>0</v>
      </c>
      <c r="K472" s="24" t="s">
        <v>288</v>
      </c>
      <c r="L472" s="24" t="s">
        <v>288</v>
      </c>
      <c r="N472" s="265"/>
    </row>
    <row r="473" spans="1:14" s="52" customFormat="1" ht="12.2" customHeight="1" x14ac:dyDescent="0.2">
      <c r="A473" s="93" t="s">
        <v>613</v>
      </c>
      <c r="B473" s="75">
        <v>19</v>
      </c>
      <c r="C473" s="80">
        <v>6</v>
      </c>
      <c r="D473" s="2" t="s">
        <v>432</v>
      </c>
      <c r="E473" s="80"/>
      <c r="F473" s="18"/>
      <c r="G473" s="18">
        <v>5713.43</v>
      </c>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14568507.289999999</v>
      </c>
      <c r="G474" s="53">
        <f>SUM(G472:G473)</f>
        <v>371879.29</v>
      </c>
      <c r="H474" s="53">
        <f>SUM(H472:H473)</f>
        <v>91998.39</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324586.44000000134</v>
      </c>
      <c r="G476" s="53">
        <f>(G465+G470)- G474</f>
        <v>124940.23000000004</v>
      </c>
      <c r="H476" s="53">
        <f>(H465+H470)- H474</f>
        <v>9796.3199999999924</v>
      </c>
      <c r="I476" s="53">
        <f>(I465+I470)- I474</f>
        <v>0</v>
      </c>
      <c r="J476" s="53">
        <f>(J465+J470)- J474</f>
        <v>270872.57</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1610</v>
      </c>
      <c r="B480" s="112"/>
      <c r="C480" s="112"/>
      <c r="D480" s="112"/>
      <c r="E480" s="112"/>
      <c r="F480" s="112"/>
      <c r="G480" s="112"/>
      <c r="H480" s="112"/>
      <c r="I480" s="112" t="s">
        <v>401</v>
      </c>
      <c r="J480" s="112"/>
      <c r="K480" s="95"/>
      <c r="L480" s="95"/>
      <c r="N480" s="265"/>
    </row>
    <row r="481" spans="1:14" s="52" customFormat="1" ht="12.2" customHeight="1" x14ac:dyDescent="0.2">
      <c r="A481" s="175" t="s">
        <v>1611</v>
      </c>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1612</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11</v>
      </c>
      <c r="G490" s="154">
        <v>15</v>
      </c>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1613</v>
      </c>
      <c r="G491" s="155" t="s">
        <v>1615</v>
      </c>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1614</v>
      </c>
      <c r="G492" s="155" t="s">
        <v>1616</v>
      </c>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10217500</v>
      </c>
      <c r="G493" s="18">
        <v>693000</v>
      </c>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1.88</v>
      </c>
      <c r="G494" s="18">
        <v>3.79</v>
      </c>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7280000</v>
      </c>
      <c r="G495" s="18">
        <v>693000</v>
      </c>
      <c r="H495" s="18"/>
      <c r="I495" s="18"/>
      <c r="J495" s="18"/>
      <c r="K495" s="53">
        <f>SUM(F495:J495)</f>
        <v>7973000</v>
      </c>
      <c r="L495" s="24" t="s">
        <v>288</v>
      </c>
      <c r="N495" s="265"/>
    </row>
    <row r="496" spans="1:14" s="52" customFormat="1" ht="12.2" customHeight="1" x14ac:dyDescent="0.2">
      <c r="A496" s="22" t="s">
        <v>620</v>
      </c>
      <c r="B496" s="75">
        <v>20</v>
      </c>
      <c r="C496" s="115">
        <v>7</v>
      </c>
      <c r="D496" s="2" t="s">
        <v>432</v>
      </c>
      <c r="E496" s="115"/>
      <c r="F496" s="18">
        <v>0</v>
      </c>
      <c r="G496" s="18">
        <v>0</v>
      </c>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910000</v>
      </c>
      <c r="G497" s="18">
        <v>0</v>
      </c>
      <c r="H497" s="18"/>
      <c r="I497" s="18"/>
      <c r="J497" s="18"/>
      <c r="K497" s="53">
        <f t="shared" si="35"/>
        <v>910000</v>
      </c>
      <c r="L497" s="24" t="s">
        <v>288</v>
      </c>
      <c r="N497" s="265"/>
    </row>
    <row r="498" spans="1:14" s="52" customFormat="1" ht="12.2" customHeight="1" x14ac:dyDescent="0.2">
      <c r="A498" s="200" t="s">
        <v>622</v>
      </c>
      <c r="B498" s="201">
        <v>20</v>
      </c>
      <c r="C498" s="202">
        <v>9</v>
      </c>
      <c r="D498" s="203" t="s">
        <v>432</v>
      </c>
      <c r="E498" s="202"/>
      <c r="F498" s="204">
        <v>6370000</v>
      </c>
      <c r="G498" s="204">
        <v>693000</v>
      </c>
      <c r="H498" s="204"/>
      <c r="I498" s="204"/>
      <c r="J498" s="204"/>
      <c r="K498" s="205">
        <f t="shared" si="35"/>
        <v>7063000</v>
      </c>
      <c r="L498" s="206" t="s">
        <v>288</v>
      </c>
      <c r="N498" s="265"/>
    </row>
    <row r="499" spans="1:14" s="52" customFormat="1" ht="12.2" customHeight="1" thickBot="1" x14ac:dyDescent="0.25">
      <c r="A499" s="22" t="s">
        <v>623</v>
      </c>
      <c r="B499" s="75">
        <v>20</v>
      </c>
      <c r="C499" s="115">
        <v>10</v>
      </c>
      <c r="D499" s="2" t="s">
        <v>432</v>
      </c>
      <c r="E499" s="115"/>
      <c r="F499" s="18">
        <v>419146</v>
      </c>
      <c r="G499" s="18">
        <v>235854.69</v>
      </c>
      <c r="H499" s="18"/>
      <c r="I499" s="18"/>
      <c r="J499" s="18"/>
      <c r="K499" s="53">
        <f t="shared" si="35"/>
        <v>655000.68999999994</v>
      </c>
      <c r="L499" s="24" t="s">
        <v>288</v>
      </c>
      <c r="N499" s="265"/>
    </row>
    <row r="500" spans="1:14" s="52" customFormat="1" ht="12.2" customHeight="1" thickTop="1" x14ac:dyDescent="0.2">
      <c r="A500" s="139" t="s">
        <v>624</v>
      </c>
      <c r="B500" s="44">
        <v>20</v>
      </c>
      <c r="C500" s="195">
        <v>11</v>
      </c>
      <c r="D500" s="39" t="s">
        <v>432</v>
      </c>
      <c r="E500" s="195"/>
      <c r="F500" s="42">
        <f>SUM(F498:F499)</f>
        <v>6789146</v>
      </c>
      <c r="G500" s="42">
        <f>SUM(G498:G499)</f>
        <v>928854.69</v>
      </c>
      <c r="H500" s="42">
        <f>SUM(H498:H499)</f>
        <v>0</v>
      </c>
      <c r="I500" s="42">
        <f>SUM(I498:I499)</f>
        <v>0</v>
      </c>
      <c r="J500" s="42">
        <f>SUM(J498:J499)</f>
        <v>0</v>
      </c>
      <c r="K500" s="42">
        <f t="shared" si="35"/>
        <v>7718000.6899999995</v>
      </c>
      <c r="L500" s="45" t="s">
        <v>288</v>
      </c>
      <c r="N500" s="265"/>
    </row>
    <row r="501" spans="1:14" s="52" customFormat="1" ht="12.2" customHeight="1" x14ac:dyDescent="0.2">
      <c r="A501" s="200" t="s">
        <v>651</v>
      </c>
      <c r="B501" s="201">
        <v>20</v>
      </c>
      <c r="C501" s="202">
        <v>12</v>
      </c>
      <c r="D501" s="203" t="s">
        <v>432</v>
      </c>
      <c r="E501" s="202"/>
      <c r="F501" s="204">
        <v>910000</v>
      </c>
      <c r="G501" s="204">
        <v>27735.3</v>
      </c>
      <c r="H501" s="204"/>
      <c r="I501" s="204"/>
      <c r="J501" s="204"/>
      <c r="K501" s="205">
        <f t="shared" si="35"/>
        <v>937735.3</v>
      </c>
      <c r="L501" s="206" t="s">
        <v>288</v>
      </c>
      <c r="N501" s="265"/>
    </row>
    <row r="502" spans="1:14" s="52" customFormat="1" ht="12.2" customHeight="1" thickBot="1" x14ac:dyDescent="0.25">
      <c r="A502" s="22" t="s">
        <v>625</v>
      </c>
      <c r="B502" s="75">
        <v>20</v>
      </c>
      <c r="C502" s="115">
        <v>13</v>
      </c>
      <c r="D502" s="2" t="s">
        <v>432</v>
      </c>
      <c r="E502" s="115"/>
      <c r="F502" s="18">
        <v>111202</v>
      </c>
      <c r="G502" s="18">
        <v>26264.7</v>
      </c>
      <c r="H502" s="18"/>
      <c r="I502" s="18"/>
      <c r="J502" s="18"/>
      <c r="K502" s="53">
        <f t="shared" si="35"/>
        <v>137466.70000000001</v>
      </c>
      <c r="L502" s="24" t="s">
        <v>288</v>
      </c>
      <c r="N502" s="265"/>
    </row>
    <row r="503" spans="1:14" s="52" customFormat="1" ht="12.2" customHeight="1" thickTop="1" x14ac:dyDescent="0.2">
      <c r="A503" s="139" t="s">
        <v>626</v>
      </c>
      <c r="B503" s="44">
        <v>20</v>
      </c>
      <c r="C503" s="195">
        <v>14</v>
      </c>
      <c r="D503" s="39" t="s">
        <v>432</v>
      </c>
      <c r="E503" s="195"/>
      <c r="F503" s="42">
        <f>SUM(F501:F502)</f>
        <v>1021202</v>
      </c>
      <c r="G503" s="42">
        <f>SUM(G501:G502)</f>
        <v>54000</v>
      </c>
      <c r="H503" s="42">
        <f>SUM(H501:H502)</f>
        <v>0</v>
      </c>
      <c r="I503" s="42">
        <f>SUM(I501:I502)</f>
        <v>0</v>
      </c>
      <c r="J503" s="42">
        <f>SUM(J501:J502)</f>
        <v>0</v>
      </c>
      <c r="K503" s="42">
        <f t="shared" si="35"/>
        <v>1075202</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608968.42000000004</v>
      </c>
      <c r="G521" s="18">
        <v>254598.84</v>
      </c>
      <c r="H521" s="18">
        <v>59282.79</v>
      </c>
      <c r="I521" s="18">
        <v>8983.69</v>
      </c>
      <c r="J521" s="18">
        <v>2200</v>
      </c>
      <c r="K521" s="18">
        <v>3026.39</v>
      </c>
      <c r="L521" s="88">
        <f>SUM(F521:K521)</f>
        <v>937060.13</v>
      </c>
      <c r="N521" s="265"/>
    </row>
    <row r="522" spans="1:14" s="52" customFormat="1" ht="12.2" customHeight="1" x14ac:dyDescent="0.2">
      <c r="A522" s="22" t="s">
        <v>634</v>
      </c>
      <c r="B522" s="105">
        <v>21</v>
      </c>
      <c r="C522" s="115">
        <v>2</v>
      </c>
      <c r="D522" s="2" t="s">
        <v>432</v>
      </c>
      <c r="E522" s="115"/>
      <c r="F522" s="18">
        <v>607654.82999999996</v>
      </c>
      <c r="G522" s="18">
        <v>223302.22</v>
      </c>
      <c r="H522" s="18">
        <v>92039.33</v>
      </c>
      <c r="I522" s="18">
        <v>6635.8</v>
      </c>
      <c r="J522" s="18">
        <v>2208.9499999999998</v>
      </c>
      <c r="K522" s="18">
        <v>2294.66</v>
      </c>
      <c r="L522" s="88">
        <f>SUM(F522:K522)</f>
        <v>934135.78999999992</v>
      </c>
      <c r="N522" s="265"/>
    </row>
    <row r="523" spans="1:14" s="52" customFormat="1" ht="12.2" customHeight="1" thickBot="1" x14ac:dyDescent="0.25">
      <c r="A523" s="22" t="s">
        <v>635</v>
      </c>
      <c r="B523" s="105">
        <v>21</v>
      </c>
      <c r="C523" s="115">
        <v>3</v>
      </c>
      <c r="D523" s="2" t="s">
        <v>432</v>
      </c>
      <c r="E523" s="115"/>
      <c r="F523" s="18"/>
      <c r="G523" s="18"/>
      <c r="H523" s="18"/>
      <c r="I523" s="18"/>
      <c r="J523" s="18"/>
      <c r="K523" s="18">
        <v>0</v>
      </c>
      <c r="L523" s="88">
        <f>SUM(F523:K523)</f>
        <v>0</v>
      </c>
      <c r="N523" s="265"/>
    </row>
    <row r="524" spans="1:14" s="52" customFormat="1" ht="12.2" customHeight="1" thickTop="1" x14ac:dyDescent="0.2">
      <c r="A524" s="139" t="s">
        <v>63</v>
      </c>
      <c r="B524" s="107">
        <v>21</v>
      </c>
      <c r="C524" s="195">
        <v>4</v>
      </c>
      <c r="D524" s="196" t="s">
        <v>432</v>
      </c>
      <c r="E524" s="195"/>
      <c r="F524" s="108">
        <f>SUM(F521:F523)</f>
        <v>1216623.25</v>
      </c>
      <c r="G524" s="108">
        <f t="shared" ref="G524:L524" si="36">SUM(G521:G523)</f>
        <v>477901.06</v>
      </c>
      <c r="H524" s="108">
        <f t="shared" si="36"/>
        <v>151322.12</v>
      </c>
      <c r="I524" s="108">
        <f t="shared" si="36"/>
        <v>15619.490000000002</v>
      </c>
      <c r="J524" s="108">
        <f t="shared" si="36"/>
        <v>4408.95</v>
      </c>
      <c r="K524" s="108">
        <f t="shared" si="36"/>
        <v>5321.0499999999993</v>
      </c>
      <c r="L524" s="89">
        <f t="shared" si="36"/>
        <v>1871195.92</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170695.29</v>
      </c>
      <c r="G526" s="18">
        <v>109140.4</v>
      </c>
      <c r="H526" s="18">
        <v>75102.080000000002</v>
      </c>
      <c r="I526" s="18">
        <v>3262.82</v>
      </c>
      <c r="J526" s="18">
        <v>3943.05</v>
      </c>
      <c r="K526" s="18">
        <v>0</v>
      </c>
      <c r="L526" s="88">
        <f>SUM(F526:K526)</f>
        <v>362143.64</v>
      </c>
      <c r="M526" s="8"/>
      <c r="N526" s="266"/>
    </row>
    <row r="527" spans="1:14" s="3" customFormat="1" ht="12.2" customHeight="1" x14ac:dyDescent="0.15">
      <c r="A527" s="22" t="s">
        <v>634</v>
      </c>
      <c r="B527" s="105">
        <v>21</v>
      </c>
      <c r="C527" s="115">
        <v>6</v>
      </c>
      <c r="D527" s="2" t="s">
        <v>432</v>
      </c>
      <c r="E527" s="115"/>
      <c r="F527" s="18">
        <v>50281.65</v>
      </c>
      <c r="G527" s="18">
        <v>37915.760000000002</v>
      </c>
      <c r="H527" s="18">
        <v>80290.490000000005</v>
      </c>
      <c r="I527" s="18">
        <v>99.88</v>
      </c>
      <c r="J527" s="18">
        <v>4678.34</v>
      </c>
      <c r="K527" s="18">
        <v>0</v>
      </c>
      <c r="L527" s="88">
        <f>SUM(F527:K527)</f>
        <v>173266.12000000002</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220976.94</v>
      </c>
      <c r="G529" s="89">
        <f t="shared" ref="G529:L529" si="37">SUM(G526:G528)</f>
        <v>147056.16</v>
      </c>
      <c r="H529" s="89">
        <f t="shared" si="37"/>
        <v>155392.57</v>
      </c>
      <c r="I529" s="89">
        <f t="shared" si="37"/>
        <v>3362.7000000000003</v>
      </c>
      <c r="J529" s="89">
        <f t="shared" si="37"/>
        <v>8621.39</v>
      </c>
      <c r="K529" s="89">
        <f t="shared" si="37"/>
        <v>0</v>
      </c>
      <c r="L529" s="89">
        <f t="shared" si="37"/>
        <v>535409.76</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51484.32</v>
      </c>
      <c r="G531" s="18">
        <v>76263.520000000004</v>
      </c>
      <c r="H531" s="18">
        <v>49.32</v>
      </c>
      <c r="I531" s="18">
        <v>0</v>
      </c>
      <c r="J531" s="18">
        <v>509.84</v>
      </c>
      <c r="K531" s="18"/>
      <c r="L531" s="88">
        <f>SUM(F531:K531)</f>
        <v>128307</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51484.32</v>
      </c>
      <c r="G534" s="89">
        <f t="shared" ref="G534:L534" si="38">SUM(G531:G533)</f>
        <v>76263.520000000004</v>
      </c>
      <c r="H534" s="89">
        <f t="shared" si="38"/>
        <v>49.32</v>
      </c>
      <c r="I534" s="89">
        <f t="shared" si="38"/>
        <v>0</v>
      </c>
      <c r="J534" s="89">
        <f t="shared" si="38"/>
        <v>509.84</v>
      </c>
      <c r="K534" s="89">
        <f t="shared" si="38"/>
        <v>0</v>
      </c>
      <c r="L534" s="89">
        <f t="shared" si="38"/>
        <v>128307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707.39</v>
      </c>
      <c r="I536" s="18"/>
      <c r="J536" s="18"/>
      <c r="K536" s="18"/>
      <c r="L536" s="88">
        <f>SUM(F536:K536)</f>
        <v>707.39</v>
      </c>
      <c r="M536" s="8"/>
      <c r="N536" s="266"/>
    </row>
    <row r="537" spans="1:14" s="3" customFormat="1" ht="12.2" customHeight="1" x14ac:dyDescent="0.15">
      <c r="A537" s="22" t="s">
        <v>634</v>
      </c>
      <c r="B537" s="105">
        <v>21</v>
      </c>
      <c r="C537" s="105">
        <v>14</v>
      </c>
      <c r="D537" s="2" t="s">
        <v>432</v>
      </c>
      <c r="E537" s="105"/>
      <c r="F537" s="18"/>
      <c r="G537" s="18"/>
      <c r="H537" s="18">
        <v>1414.78</v>
      </c>
      <c r="I537" s="18"/>
      <c r="J537" s="18"/>
      <c r="K537" s="18"/>
      <c r="L537" s="88">
        <f>SUM(F537:K537)</f>
        <v>1414.78</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2122.17</v>
      </c>
      <c r="I539" s="89">
        <f t="shared" si="39"/>
        <v>0</v>
      </c>
      <c r="J539" s="89">
        <f t="shared" si="39"/>
        <v>0</v>
      </c>
      <c r="K539" s="89">
        <f t="shared" si="39"/>
        <v>0</v>
      </c>
      <c r="L539" s="89">
        <f t="shared" si="39"/>
        <v>2122.17</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170787.99</v>
      </c>
      <c r="I541" s="18"/>
      <c r="J541" s="18"/>
      <c r="K541" s="18"/>
      <c r="L541" s="88">
        <f>SUM(F541:K541)</f>
        <v>170787.99</v>
      </c>
      <c r="M541" s="8"/>
      <c r="N541" s="266"/>
    </row>
    <row r="542" spans="1:14" s="3" customFormat="1" ht="12.2" customHeight="1" x14ac:dyDescent="0.15">
      <c r="A542" s="22" t="s">
        <v>634</v>
      </c>
      <c r="B542" s="105">
        <v>21</v>
      </c>
      <c r="C542" s="105">
        <v>18</v>
      </c>
      <c r="D542" s="2" t="s">
        <v>432</v>
      </c>
      <c r="E542" s="105"/>
      <c r="F542" s="18"/>
      <c r="G542" s="18"/>
      <c r="H542" s="18">
        <v>80624.009999999995</v>
      </c>
      <c r="I542" s="18"/>
      <c r="J542" s="18"/>
      <c r="K542" s="18"/>
      <c r="L542" s="88">
        <f>SUM(F542:K542)</f>
        <v>80624.009999999995</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251412</v>
      </c>
      <c r="I544" s="193">
        <f t="shared" si="40"/>
        <v>0</v>
      </c>
      <c r="J544" s="193">
        <f t="shared" si="40"/>
        <v>0</v>
      </c>
      <c r="K544" s="193">
        <f t="shared" si="40"/>
        <v>0</v>
      </c>
      <c r="L544" s="193">
        <f t="shared" si="40"/>
        <v>251412</v>
      </c>
      <c r="M544" s="8"/>
      <c r="N544" s="266"/>
    </row>
    <row r="545" spans="1:14" s="3" customFormat="1" ht="12.2" customHeight="1" thickTop="1" x14ac:dyDescent="0.15">
      <c r="A545" s="98" t="s">
        <v>72</v>
      </c>
      <c r="B545" s="107">
        <v>21</v>
      </c>
      <c r="C545" s="107">
        <v>21</v>
      </c>
      <c r="D545" s="158" t="s">
        <v>432</v>
      </c>
      <c r="E545" s="107"/>
      <c r="F545" s="89">
        <f>F524+F529+F534+F539+F544</f>
        <v>1489084.51</v>
      </c>
      <c r="G545" s="89">
        <f t="shared" ref="G545:L545" si="41">G524+G529+G534+G539+G544</f>
        <v>701220.74</v>
      </c>
      <c r="H545" s="89">
        <f t="shared" si="41"/>
        <v>560298.17999999993</v>
      </c>
      <c r="I545" s="89">
        <f t="shared" si="41"/>
        <v>18982.190000000002</v>
      </c>
      <c r="J545" s="89">
        <f t="shared" si="41"/>
        <v>13540.18</v>
      </c>
      <c r="K545" s="89">
        <f t="shared" si="41"/>
        <v>5321.0499999999993</v>
      </c>
      <c r="L545" s="89">
        <f t="shared" si="41"/>
        <v>2788446.8499999996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937060.13</v>
      </c>
      <c r="G549" s="87">
        <f>L526</f>
        <v>362143.64</v>
      </c>
      <c r="H549" s="87">
        <f>L531</f>
        <v>128307</v>
      </c>
      <c r="I549" s="87">
        <f>L536</f>
        <v>707.39</v>
      </c>
      <c r="J549" s="87">
        <f>L541</f>
        <v>170787.99</v>
      </c>
      <c r="K549" s="87">
        <f>SUM(F549:J549)</f>
        <v>1599006.15</v>
      </c>
      <c r="L549" s="24" t="s">
        <v>288</v>
      </c>
      <c r="M549" s="8"/>
      <c r="N549" s="266"/>
    </row>
    <row r="550" spans="1:14" s="3" customFormat="1" ht="12.2" customHeight="1" x14ac:dyDescent="0.15">
      <c r="A550" s="22" t="s">
        <v>634</v>
      </c>
      <c r="B550" s="75">
        <v>21</v>
      </c>
      <c r="C550" s="75">
        <v>23</v>
      </c>
      <c r="D550" s="2" t="s">
        <v>432</v>
      </c>
      <c r="E550" s="75"/>
      <c r="F550" s="87">
        <f>L522</f>
        <v>934135.78999999992</v>
      </c>
      <c r="G550" s="87">
        <f>L527</f>
        <v>173266.12000000002</v>
      </c>
      <c r="H550" s="87">
        <f>L532</f>
        <v>0</v>
      </c>
      <c r="I550" s="87">
        <f>L537</f>
        <v>1414.78</v>
      </c>
      <c r="J550" s="87">
        <f>L542</f>
        <v>80624.009999999995</v>
      </c>
      <c r="K550" s="87">
        <f>SUM(F550:J550)</f>
        <v>1189440.7</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1871195.92</v>
      </c>
      <c r="G552" s="89">
        <f t="shared" si="42"/>
        <v>535409.76</v>
      </c>
      <c r="H552" s="89">
        <f t="shared" si="42"/>
        <v>128307</v>
      </c>
      <c r="I552" s="89">
        <f t="shared" si="42"/>
        <v>2122.17</v>
      </c>
      <c r="J552" s="89">
        <f t="shared" si="42"/>
        <v>251412</v>
      </c>
      <c r="K552" s="89">
        <f t="shared" si="42"/>
        <v>2788446.8499999996</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2500</v>
      </c>
      <c r="G562" s="18">
        <v>191.28</v>
      </c>
      <c r="H562" s="18">
        <v>0</v>
      </c>
      <c r="I562" s="18">
        <v>0</v>
      </c>
      <c r="J562" s="18">
        <v>0</v>
      </c>
      <c r="K562" s="18">
        <v>0</v>
      </c>
      <c r="L562" s="88">
        <f>SUM(F562:K562)</f>
        <v>2691.28</v>
      </c>
      <c r="M562" s="8"/>
      <c r="N562" s="266"/>
    </row>
    <row r="563" spans="1:14" s="3" customFormat="1" ht="12.2" customHeight="1" x14ac:dyDescent="0.15">
      <c r="A563" s="22" t="s">
        <v>634</v>
      </c>
      <c r="B563" s="105">
        <v>22</v>
      </c>
      <c r="C563" s="115">
        <v>6</v>
      </c>
      <c r="D563" s="2" t="s">
        <v>432</v>
      </c>
      <c r="E563" s="115"/>
      <c r="F563" s="18">
        <v>0</v>
      </c>
      <c r="G563" s="18">
        <v>0</v>
      </c>
      <c r="H563" s="18">
        <v>0</v>
      </c>
      <c r="I563" s="18">
        <v>0</v>
      </c>
      <c r="J563" s="18">
        <v>0</v>
      </c>
      <c r="K563" s="18">
        <v>0</v>
      </c>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2500</v>
      </c>
      <c r="G565" s="89">
        <f t="shared" si="44"/>
        <v>191.28</v>
      </c>
      <c r="H565" s="89">
        <f t="shared" si="44"/>
        <v>0</v>
      </c>
      <c r="I565" s="89">
        <f t="shared" si="44"/>
        <v>0</v>
      </c>
      <c r="J565" s="89">
        <f t="shared" si="44"/>
        <v>0</v>
      </c>
      <c r="K565" s="89">
        <f t="shared" si="44"/>
        <v>0</v>
      </c>
      <c r="L565" s="89">
        <f t="shared" si="44"/>
        <v>2691.28</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v>45158</v>
      </c>
      <c r="G567" s="18">
        <v>24609.57</v>
      </c>
      <c r="H567" s="18">
        <v>0</v>
      </c>
      <c r="I567" s="18">
        <v>2429.4899999999998</v>
      </c>
      <c r="J567" s="18">
        <v>0</v>
      </c>
      <c r="K567" s="18">
        <v>0</v>
      </c>
      <c r="L567" s="88">
        <f>SUM(F567:K567)</f>
        <v>72197.060000000012</v>
      </c>
      <c r="M567" s="8"/>
      <c r="N567" s="266"/>
    </row>
    <row r="568" spans="1:14" s="3" customFormat="1" ht="12.2" customHeight="1" x14ac:dyDescent="0.15">
      <c r="A568" s="22" t="s">
        <v>634</v>
      </c>
      <c r="B568" s="105">
        <v>22</v>
      </c>
      <c r="C568" s="105">
        <v>10</v>
      </c>
      <c r="D568" s="2" t="s">
        <v>432</v>
      </c>
      <c r="E568" s="105"/>
      <c r="F568" s="18">
        <v>51160</v>
      </c>
      <c r="G568" s="18">
        <v>37258.43</v>
      </c>
      <c r="H568" s="18">
        <v>0</v>
      </c>
      <c r="I568" s="18">
        <v>785</v>
      </c>
      <c r="J568" s="18">
        <v>0</v>
      </c>
      <c r="K568" s="18">
        <v>0</v>
      </c>
      <c r="L568" s="88">
        <f>SUM(F568:K568)</f>
        <v>89203.43</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96318</v>
      </c>
      <c r="G570" s="193">
        <f t="shared" ref="G570:L570" si="45">SUM(G567:G569)</f>
        <v>61868</v>
      </c>
      <c r="H570" s="193">
        <f t="shared" si="45"/>
        <v>0</v>
      </c>
      <c r="I570" s="193">
        <f t="shared" si="45"/>
        <v>3214.49</v>
      </c>
      <c r="J570" s="193">
        <f t="shared" si="45"/>
        <v>0</v>
      </c>
      <c r="K570" s="193">
        <f t="shared" si="45"/>
        <v>0</v>
      </c>
      <c r="L570" s="193">
        <f t="shared" si="45"/>
        <v>161400.49</v>
      </c>
      <c r="M570" s="8"/>
      <c r="N570" s="266"/>
    </row>
    <row r="571" spans="1:14" s="3" customFormat="1" ht="12.2" customHeight="1" thickTop="1" x14ac:dyDescent="0.15">
      <c r="A571" s="98" t="s">
        <v>88</v>
      </c>
      <c r="B571" s="107">
        <v>22</v>
      </c>
      <c r="C571" s="107">
        <v>13</v>
      </c>
      <c r="D571" s="158" t="s">
        <v>432</v>
      </c>
      <c r="E571" s="107"/>
      <c r="F571" s="89">
        <f>F560+F565+F570</f>
        <v>98818</v>
      </c>
      <c r="G571" s="89">
        <f t="shared" ref="G571:L571" si="46">G560+G565+G570</f>
        <v>62059.28</v>
      </c>
      <c r="H571" s="89">
        <f t="shared" si="46"/>
        <v>0</v>
      </c>
      <c r="I571" s="89">
        <f t="shared" si="46"/>
        <v>3214.49</v>
      </c>
      <c r="J571" s="89">
        <f t="shared" si="46"/>
        <v>0</v>
      </c>
      <c r="K571" s="89">
        <f t="shared" si="46"/>
        <v>0</v>
      </c>
      <c r="L571" s="89">
        <f t="shared" si="46"/>
        <v>164091.76999999999</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0</v>
      </c>
      <c r="G575" s="18">
        <v>0</v>
      </c>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v>0</v>
      </c>
      <c r="G576" s="18">
        <v>0</v>
      </c>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v>0</v>
      </c>
      <c r="G578" s="18">
        <v>0</v>
      </c>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0</v>
      </c>
      <c r="G579" s="18">
        <v>0</v>
      </c>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v>0</v>
      </c>
      <c r="G580" s="18">
        <v>0</v>
      </c>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47023.199999999997</v>
      </c>
      <c r="G582" s="18">
        <v>83463.429999999993</v>
      </c>
      <c r="H582" s="18"/>
      <c r="I582" s="87">
        <f t="shared" si="47"/>
        <v>130486.62999999999</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0</v>
      </c>
      <c r="G583" s="18">
        <v>0</v>
      </c>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v>0</v>
      </c>
      <c r="G584" s="18">
        <v>0</v>
      </c>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v>0</v>
      </c>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v>0</v>
      </c>
      <c r="G587" s="18">
        <v>0</v>
      </c>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270563.83</v>
      </c>
      <c r="I591" s="18">
        <v>274760.59999999998</v>
      </c>
      <c r="J591" s="18"/>
      <c r="K591" s="104">
        <f t="shared" ref="K591:K597" si="48">SUM(H591:J591)</f>
        <v>545324.42999999993</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170787.99</v>
      </c>
      <c r="I592" s="18">
        <v>80624.009999999995</v>
      </c>
      <c r="J592" s="18"/>
      <c r="K592" s="104">
        <f t="shared" si="48"/>
        <v>251412</v>
      </c>
      <c r="L592" s="24" t="s">
        <v>288</v>
      </c>
      <c r="M592" s="8"/>
      <c r="N592" s="266"/>
    </row>
    <row r="593" spans="1:14" s="3" customFormat="1" ht="12.2" customHeight="1" x14ac:dyDescent="0.15">
      <c r="A593" s="3" t="s">
        <v>639</v>
      </c>
      <c r="B593" s="75">
        <v>23</v>
      </c>
      <c r="C593" s="75">
        <v>3</v>
      </c>
      <c r="D593" s="2" t="s">
        <v>432</v>
      </c>
      <c r="E593" s="75"/>
      <c r="F593" s="102">
        <v>2723</v>
      </c>
      <c r="G593" s="103" t="s">
        <v>97</v>
      </c>
      <c r="H593" s="18">
        <v>0</v>
      </c>
      <c r="I593" s="18">
        <v>0</v>
      </c>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0</v>
      </c>
      <c r="I594" s="18">
        <v>14473.44</v>
      </c>
      <c r="J594" s="18"/>
      <c r="K594" s="104">
        <f t="shared" si="48"/>
        <v>14473.44</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368.66</v>
      </c>
      <c r="I595" s="18">
        <v>10743.88</v>
      </c>
      <c r="J595" s="18"/>
      <c r="K595" s="104">
        <f t="shared" si="48"/>
        <v>11112.539999999999</v>
      </c>
      <c r="L595" s="24" t="s">
        <v>288</v>
      </c>
      <c r="M595" s="8"/>
      <c r="N595" s="266"/>
    </row>
    <row r="596" spans="1:14" s="3" customFormat="1" ht="12.2" customHeight="1" x14ac:dyDescent="0.15">
      <c r="A596" s="22" t="s">
        <v>641</v>
      </c>
      <c r="B596" s="75">
        <v>23</v>
      </c>
      <c r="C596" s="75">
        <v>6</v>
      </c>
      <c r="D596" s="2" t="s">
        <v>432</v>
      </c>
      <c r="E596" s="75"/>
      <c r="F596" s="102">
        <v>2726</v>
      </c>
      <c r="G596" s="103" t="s">
        <v>97</v>
      </c>
      <c r="H596" s="18">
        <v>0</v>
      </c>
      <c r="I596" s="18">
        <v>0</v>
      </c>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5645</v>
      </c>
      <c r="I597" s="18">
        <v>4600</v>
      </c>
      <c r="J597" s="18"/>
      <c r="K597" s="104">
        <f t="shared" si="48"/>
        <v>10245</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447365.48</v>
      </c>
      <c r="I598" s="108">
        <f>SUM(I591:I597)</f>
        <v>385201.93</v>
      </c>
      <c r="J598" s="108">
        <f>SUM(J591:J597)</f>
        <v>0</v>
      </c>
      <c r="K598" s="108">
        <f>SUM(K591:K597)</f>
        <v>832567.40999999992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v>0</v>
      </c>
      <c r="I602" s="18">
        <v>0</v>
      </c>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v>0</v>
      </c>
      <c r="I603" s="18">
        <v>0</v>
      </c>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221979.81</v>
      </c>
      <c r="I604" s="18">
        <v>155199.25</v>
      </c>
      <c r="J604" s="18"/>
      <c r="K604" s="104">
        <f>SUM(H604:J604)</f>
        <v>377179.06</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221979.81</v>
      </c>
      <c r="I605" s="108">
        <f>SUM(I602:I604)</f>
        <v>155199.25</v>
      </c>
      <c r="J605" s="108">
        <f>SUM(J602:J604)</f>
        <v>0</v>
      </c>
      <c r="K605" s="108">
        <f>SUM(K602:K604)</f>
        <v>377179.06</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6047.5</v>
      </c>
      <c r="G611" s="18">
        <v>478.32</v>
      </c>
      <c r="H611" s="18">
        <v>2859.87</v>
      </c>
      <c r="I611" s="18">
        <v>0</v>
      </c>
      <c r="J611" s="18">
        <v>0</v>
      </c>
      <c r="K611" s="18">
        <v>0</v>
      </c>
      <c r="L611" s="88">
        <f>SUM(F611:K611)</f>
        <v>9385.6899999999987</v>
      </c>
      <c r="M611" s="8"/>
      <c r="N611" s="266"/>
    </row>
    <row r="612" spans="1:14" s="3" customFormat="1" ht="12.2" customHeight="1" x14ac:dyDescent="0.15">
      <c r="A612" s="22" t="s">
        <v>634</v>
      </c>
      <c r="B612" s="75">
        <v>23</v>
      </c>
      <c r="C612" s="75">
        <v>14</v>
      </c>
      <c r="D612" s="2" t="s">
        <v>432</v>
      </c>
      <c r="E612" s="75"/>
      <c r="F612" s="18">
        <v>7483.75</v>
      </c>
      <c r="G612" s="18">
        <v>1597.47</v>
      </c>
      <c r="H612" s="18">
        <v>0</v>
      </c>
      <c r="I612" s="18">
        <v>0</v>
      </c>
      <c r="J612" s="18">
        <v>0</v>
      </c>
      <c r="K612" s="18"/>
      <c r="L612" s="88">
        <f>SUM(F612:K612)</f>
        <v>9081.2199999999993</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13531.25</v>
      </c>
      <c r="G614" s="108">
        <f t="shared" si="49"/>
        <v>2075.79</v>
      </c>
      <c r="H614" s="108">
        <f t="shared" si="49"/>
        <v>2859.87</v>
      </c>
      <c r="I614" s="108">
        <f t="shared" si="49"/>
        <v>0</v>
      </c>
      <c r="J614" s="108">
        <f t="shared" si="49"/>
        <v>0</v>
      </c>
      <c r="K614" s="108">
        <f t="shared" si="49"/>
        <v>0</v>
      </c>
      <c r="L614" s="89">
        <f t="shared" si="49"/>
        <v>18466.909999999996</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374348.63</v>
      </c>
      <c r="H617" s="109">
        <f>SUM(F52)</f>
        <v>374348.63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159155.06</v>
      </c>
      <c r="H618" s="109">
        <f>SUM(G52)</f>
        <v>159155.06</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9796.32</v>
      </c>
      <c r="H619" s="109">
        <f>SUM(H52)</f>
        <v>9796.32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270872.57</v>
      </c>
      <c r="H621" s="109">
        <f>SUM(J52)</f>
        <v>270872.57</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324586.44</v>
      </c>
      <c r="H622" s="109">
        <f>F476</f>
        <v>324586.44000000134</v>
      </c>
      <c r="I622" s="121" t="s">
        <v>101</v>
      </c>
      <c r="J622" s="109">
        <f t="shared" ref="J622:J655" si="50">G622-H622</f>
        <v>-1.3387762010097504E-9</v>
      </c>
      <c r="K622" s="109"/>
      <c r="L622" s="109"/>
      <c r="M622" s="8"/>
    </row>
    <row r="623" spans="1:14" s="3" customFormat="1" ht="12.2" customHeight="1" x14ac:dyDescent="0.15">
      <c r="A623" s="97"/>
      <c r="B623" s="105"/>
      <c r="C623" s="119"/>
      <c r="D623" s="119"/>
      <c r="E623" s="119"/>
      <c r="F623" s="119" t="s">
        <v>866</v>
      </c>
      <c r="G623" s="109">
        <f>G51</f>
        <v>124940.23</v>
      </c>
      <c r="H623" s="109">
        <f>G476</f>
        <v>124940.23000000004</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9796.32</v>
      </c>
      <c r="H624" s="109">
        <f>H476</f>
        <v>9796.3199999999924</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270872.57</v>
      </c>
      <c r="H626" s="109">
        <f>J476</f>
        <v>270872.57</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14422521.979999999</v>
      </c>
      <c r="H627" s="104">
        <f>SUM(F468)</f>
        <v>14422521.98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343745.78</v>
      </c>
      <c r="H628" s="104">
        <f>SUM(G468)</f>
        <v>343745.78</v>
      </c>
      <c r="I628" s="140" t="s">
        <v>107</v>
      </c>
      <c r="J628" s="109">
        <f>G628-H628</f>
        <v>0</v>
      </c>
      <c r="K628" s="85"/>
      <c r="L628" s="88"/>
      <c r="M628" s="8"/>
    </row>
    <row r="629" spans="1:13" s="3" customFormat="1" ht="12.2" customHeight="1" x14ac:dyDescent="0.15">
      <c r="A629" s="22"/>
      <c r="B629" s="105"/>
      <c r="C629" s="105"/>
      <c r="D629" s="105"/>
      <c r="E629" s="105"/>
      <c r="F629" s="120" t="s">
        <v>660</v>
      </c>
      <c r="G629" s="109">
        <f>H193</f>
        <v>92204.540000000008</v>
      </c>
      <c r="H629" s="104">
        <f>SUM(H468)</f>
        <v>92204.54</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811.32</v>
      </c>
      <c r="H631" s="104">
        <f>SUM(J468)</f>
        <v>811.32</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14568507.290000001</v>
      </c>
      <c r="H632" s="104">
        <f>SUM(F472)</f>
        <v>14568507.289999999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91998.389999999985</v>
      </c>
      <c r="H633" s="104">
        <f>SUM(H472)</f>
        <v>91998.39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366165.86</v>
      </c>
      <c r="H635" s="104">
        <f>SUM(G472)</f>
        <v>366165.86</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811.31999999999994</v>
      </c>
      <c r="H637" s="164">
        <f>SUM(J468)</f>
        <v>811.32</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270872.57</v>
      </c>
      <c r="H640" s="104">
        <f>SUM(G461)</f>
        <v>270872.57</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270872.57</v>
      </c>
      <c r="H642" s="104">
        <f>SUM(I461)</f>
        <v>270872.57</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811.32</v>
      </c>
      <c r="H644" s="104">
        <f>H408</f>
        <v>811.31999999999994</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811.32</v>
      </c>
      <c r="H646" s="104">
        <f>L408</f>
        <v>811.31999999999994</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832567.40999999992</v>
      </c>
      <c r="H647" s="104">
        <f>L208+L226+L244</f>
        <v>832567.40999999992</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377179.06</v>
      </c>
      <c r="H648" s="104">
        <f>(J257+J338)-(J255+J336)</f>
        <v>377179.06</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447365.48</v>
      </c>
      <c r="H649" s="104">
        <f>H598</f>
        <v>447365.48</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385201.93</v>
      </c>
      <c r="H650" s="104">
        <f>I598</f>
        <v>385201.93</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7938951.9900000002</v>
      </c>
      <c r="G660" s="19">
        <f>(L229+L309+L359)</f>
        <v>6049409.5499999998</v>
      </c>
      <c r="H660" s="19">
        <f>(L247+L328+L360)</f>
        <v>0</v>
      </c>
      <c r="I660" s="19">
        <f>SUM(F660:H660)</f>
        <v>13988361.539999999</v>
      </c>
      <c r="J660" s="13"/>
      <c r="K660" s="13"/>
      <c r="L660" s="13"/>
      <c r="M660" s="9"/>
    </row>
    <row r="661" spans="1:13" s="3" customFormat="1" ht="12.2" customHeight="1" x14ac:dyDescent="0.2">
      <c r="A661" s="1" t="s">
        <v>127</v>
      </c>
      <c r="F661" s="19">
        <f>(L358/IF(SUM(L358:L360)=0,1,SUM(L358:L360))*(SUM(G97:G110)))</f>
        <v>112942.91919951877</v>
      </c>
      <c r="G661" s="19">
        <f>(L359/IF(SUM(L358:L360)=0,1,SUM(L358:L360))*(SUM(G97:G110)))</f>
        <v>116432.15080048125</v>
      </c>
      <c r="H661" s="19">
        <f>(L360/IF(SUM(L358:L360)=0,1,SUM(L358:L360))*(SUM(G97:G110)))</f>
        <v>0</v>
      </c>
      <c r="I661" s="19">
        <f>SUM(F661:H661)</f>
        <v>229375.07</v>
      </c>
      <c r="J661"/>
      <c r="K661" s="13"/>
      <c r="L661" s="13"/>
      <c r="M661" s="9"/>
    </row>
    <row r="662" spans="1:13" s="3" customFormat="1" ht="12.2" customHeight="1" x14ac:dyDescent="0.2">
      <c r="A662" s="1" t="s">
        <v>128</v>
      </c>
      <c r="F662" s="19">
        <f>(L208+L287)-(J208+J287)</f>
        <v>447365.48</v>
      </c>
      <c r="G662" s="19">
        <f>(L226+L306)-(J226+J306)</f>
        <v>385201.93</v>
      </c>
      <c r="H662" s="19">
        <f>(L244+L325)-(J244+J325)</f>
        <v>0</v>
      </c>
      <c r="I662" s="19">
        <f>SUM(F662:H662)</f>
        <v>832567.40999999992</v>
      </c>
      <c r="J662"/>
      <c r="K662" s="13"/>
      <c r="L662" s="13"/>
      <c r="M662" s="8"/>
    </row>
    <row r="663" spans="1:13" s="3" customFormat="1" ht="12.2" customHeight="1" x14ac:dyDescent="0.15">
      <c r="A663" s="198" t="s">
        <v>129</v>
      </c>
      <c r="B663" s="169"/>
      <c r="C663" s="169"/>
      <c r="D663" s="169"/>
      <c r="E663" s="169"/>
      <c r="F663" s="199">
        <f>SUM(F575:F587)+SUM(H602:H604)+SUM(L611)</f>
        <v>278388.7</v>
      </c>
      <c r="G663" s="199">
        <f>SUM(G575:G587)+SUM(I602:I604)+L612</f>
        <v>247743.9</v>
      </c>
      <c r="H663" s="199">
        <f>SUM(H575:H587)+SUM(J602:J604)+L613</f>
        <v>0</v>
      </c>
      <c r="I663" s="19">
        <f>SUM(F663:H663)</f>
        <v>526132.6</v>
      </c>
      <c r="J663" s="13"/>
      <c r="K663" s="13"/>
      <c r="L663" s="13"/>
      <c r="M663" s="9"/>
    </row>
    <row r="664" spans="1:13" s="3" customFormat="1" ht="12.2" customHeight="1" x14ac:dyDescent="0.15">
      <c r="A664" s="1" t="s">
        <v>130</v>
      </c>
      <c r="F664" s="19">
        <f>F660-SUM(F661:F663)</f>
        <v>7100254.8908004817</v>
      </c>
      <c r="G664" s="19">
        <f>G660-SUM(G661:G663)</f>
        <v>5300031.5691995183</v>
      </c>
      <c r="H664" s="19">
        <f>H660-SUM(H661:H663)</f>
        <v>0</v>
      </c>
      <c r="I664" s="19">
        <f>I660-SUM(I661:I663)</f>
        <v>12400286.459999999</v>
      </c>
      <c r="J664" s="13"/>
      <c r="K664" s="13"/>
      <c r="L664" s="13"/>
      <c r="M664" s="9"/>
    </row>
    <row r="665" spans="1:13" s="3" customFormat="1" ht="12.2" customHeight="1" x14ac:dyDescent="0.2">
      <c r="A665" s="1" t="s">
        <v>131</v>
      </c>
      <c r="F665" s="246">
        <v>583.47</v>
      </c>
      <c r="G665" s="247">
        <v>338.04</v>
      </c>
      <c r="H665" s="247"/>
      <c r="I665" s="19">
        <f>SUM(F665:H665)</f>
        <v>921.51</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12169.01</v>
      </c>
      <c r="G667" s="19">
        <f>ROUND(G664/G665,2)</f>
        <v>15678.71</v>
      </c>
      <c r="H667" s="19" t="e">
        <f>ROUND(H664/H665,2)</f>
        <v>#DIV/0!</v>
      </c>
      <c r="I667" s="19">
        <f>ROUND(I664/I665,2)</f>
        <v>13456.49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12169.01</v>
      </c>
      <c r="G672" s="19">
        <f>ROUND((G664+G669)/(G665+G670),2)</f>
        <v>15678.71</v>
      </c>
      <c r="H672" s="19" t="e">
        <f>ROUND((H664+H669)/(H665+H670),2)</f>
        <v>#DIV/0!</v>
      </c>
      <c r="I672" s="19">
        <f>ROUND((I664+I669)/(I665+I670),2)</f>
        <v>13456.49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headings="1" gridLines="1" gridLinesSet="0"/>
  <pageMargins left="0.3" right="0.3" top="0.75" bottom="0.5" header="0.5" footer="0.5"/>
  <pageSetup scale="8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31"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WEARE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3372441.93</v>
      </c>
      <c r="C9" s="229">
        <f>'DOE25'!G197+'DOE25'!G215+'DOE25'!G233+'DOE25'!G276+'DOE25'!G295+'DOE25'!G314</f>
        <v>1862543.96</v>
      </c>
    </row>
    <row r="10" spans="1:3" x14ac:dyDescent="0.2">
      <c r="A10" t="s">
        <v>775</v>
      </c>
      <c r="B10" s="240">
        <v>3038400.19</v>
      </c>
      <c r="C10" s="240">
        <v>1832252.16</v>
      </c>
    </row>
    <row r="11" spans="1:3" x14ac:dyDescent="0.2">
      <c r="A11" t="s">
        <v>776</v>
      </c>
      <c r="B11" s="240">
        <v>143801.95000000001</v>
      </c>
      <c r="C11" s="240">
        <v>15642.82</v>
      </c>
    </row>
    <row r="12" spans="1:3" x14ac:dyDescent="0.2">
      <c r="A12" t="s">
        <v>777</v>
      </c>
      <c r="B12" s="240">
        <v>190239.79</v>
      </c>
      <c r="C12" s="240">
        <v>14648.98</v>
      </c>
    </row>
    <row r="13" spans="1:3" x14ac:dyDescent="0.2">
      <c r="A13" t="str">
        <f>IF(B9=B13,IF(C9=C13,"Check Total OK","Check Total Error"),"Check Total Error")</f>
        <v>Check Total OK</v>
      </c>
      <c r="B13" s="231">
        <f>SUM(B10:B12)</f>
        <v>3372441.93</v>
      </c>
      <c r="C13" s="231">
        <f>SUM(C10:C12)</f>
        <v>1862543.96</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1469594.66</v>
      </c>
      <c r="C18" s="229">
        <f>'DOE25'!G198+'DOE25'!G216+'DOE25'!G234+'DOE25'!G277+'DOE25'!G296+'DOE25'!G315</f>
        <v>562711.43999999994</v>
      </c>
    </row>
    <row r="19" spans="1:3" x14ac:dyDescent="0.2">
      <c r="A19" t="s">
        <v>775</v>
      </c>
      <c r="B19" s="240">
        <v>750214.47</v>
      </c>
      <c r="C19" s="240">
        <v>494834.81</v>
      </c>
    </row>
    <row r="20" spans="1:3" x14ac:dyDescent="0.2">
      <c r="A20" t="s">
        <v>776</v>
      </c>
      <c r="B20" s="240">
        <v>694169.61</v>
      </c>
      <c r="C20" s="240">
        <v>54221.96</v>
      </c>
    </row>
    <row r="21" spans="1:3" x14ac:dyDescent="0.2">
      <c r="A21" t="s">
        <v>777</v>
      </c>
      <c r="B21" s="240">
        <v>25210.58</v>
      </c>
      <c r="C21" s="240">
        <f>13586.31+68.36</f>
        <v>13654.67</v>
      </c>
    </row>
    <row r="22" spans="1:3" x14ac:dyDescent="0.2">
      <c r="A22" t="str">
        <f>IF(B18=B22,IF(C18=C22,"Check Total OK","Check Total Error"),"Check Total Error")</f>
        <v>Check Total OK</v>
      </c>
      <c r="B22" s="231">
        <f>SUM(B19:B21)</f>
        <v>1469594.6600000001</v>
      </c>
      <c r="C22" s="231">
        <f>SUM(C19:C21)</f>
        <v>562711.44000000006</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63251.11</v>
      </c>
      <c r="C36" s="235">
        <f>'DOE25'!G200+'DOE25'!G218+'DOE25'!G236+'DOE25'!G279+'DOE25'!G298+'DOE25'!G317</f>
        <v>13388.34</v>
      </c>
    </row>
    <row r="37" spans="1:3" x14ac:dyDescent="0.2">
      <c r="A37" t="s">
        <v>775</v>
      </c>
      <c r="B37" s="240">
        <v>63251.11</v>
      </c>
      <c r="C37" s="240">
        <v>8970.19</v>
      </c>
    </row>
    <row r="38" spans="1:3" x14ac:dyDescent="0.2">
      <c r="A38" t="s">
        <v>776</v>
      </c>
      <c r="B38" s="240"/>
      <c r="C38" s="240"/>
    </row>
    <row r="39" spans="1:3" x14ac:dyDescent="0.2">
      <c r="A39" t="s">
        <v>777</v>
      </c>
      <c r="B39" s="240">
        <v>0</v>
      </c>
      <c r="C39" s="240">
        <v>4418.1499999999996</v>
      </c>
    </row>
    <row r="40" spans="1:3" x14ac:dyDescent="0.2">
      <c r="A40" t="str">
        <f>IF(B36=B40,IF(C36=C40,"Check Total OK","Check Total Error"),"Check Total Error")</f>
        <v>Check Total OK</v>
      </c>
      <c r="B40" s="231">
        <f>SUM(B37:B39)</f>
        <v>63251.11</v>
      </c>
      <c r="C40" s="231">
        <f>SUM(C37:C39)</f>
        <v>13388.34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40" activePane="bottomLeft" state="frozen"/>
      <selection activeCell="F46" sqref="F46"/>
      <selection pane="bottomLeft" activeCell="E16" sqref="E16"/>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WEARE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8091937.3600000013</v>
      </c>
      <c r="D5" s="20">
        <f>SUM('DOE25'!L197:L200)+SUM('DOE25'!L215:L218)+SUM('DOE25'!L233:L236)-F5-G5-H5</f>
        <v>7888673.9100000011</v>
      </c>
      <c r="E5" s="243"/>
      <c r="F5" s="244">
        <v>149438</v>
      </c>
      <c r="G5" s="53">
        <f>SUM('DOE25'!J197:J200)+SUM('DOE25'!J215:J218)+SUM('DOE25'!J233:J236)</f>
        <v>39426.11</v>
      </c>
      <c r="H5" s="53">
        <f>SUM('DOE25'!K197:K200)+SUM('DOE25'!K215:K218)+SUM('DOE25'!K233:K236)</f>
        <v>14399.34</v>
      </c>
      <c r="I5" s="256"/>
    </row>
    <row r="6" spans="1:9" x14ac:dyDescent="0.2">
      <c r="A6" s="32">
        <v>2100</v>
      </c>
      <c r="B6" t="s">
        <v>796</v>
      </c>
      <c r="C6" s="276">
        <f t="shared" si="0"/>
        <v>1095657.95</v>
      </c>
      <c r="D6" s="20">
        <f>'DOE25'!L202+'DOE25'!L220+'DOE25'!L238-F6-G6-H6</f>
        <v>1051006.52</v>
      </c>
      <c r="E6" s="243"/>
      <c r="F6" s="244">
        <v>35680.300000000003</v>
      </c>
      <c r="G6" s="53">
        <f>'DOE25'!J202+'DOE25'!J220+'DOE25'!J238</f>
        <v>8971.130000000001</v>
      </c>
      <c r="H6" s="53">
        <f>'DOE25'!K202+'DOE25'!K220+'DOE25'!K238</f>
        <v>0</v>
      </c>
      <c r="I6" s="256"/>
    </row>
    <row r="7" spans="1:9" x14ac:dyDescent="0.2">
      <c r="A7" s="32">
        <v>2200</v>
      </c>
      <c r="B7" t="s">
        <v>821</v>
      </c>
      <c r="C7" s="276">
        <f t="shared" si="0"/>
        <v>632623.96000000008</v>
      </c>
      <c r="D7" s="20">
        <f>'DOE25'!L203+'DOE25'!L221+'DOE25'!L239-F7-G7-H7</f>
        <v>250874.48000000007</v>
      </c>
      <c r="E7" s="243"/>
      <c r="F7" s="244">
        <v>124064</v>
      </c>
      <c r="G7" s="53">
        <f>'DOE25'!J203+'DOE25'!J221+'DOE25'!J239</f>
        <v>172478.02000000002</v>
      </c>
      <c r="H7" s="53">
        <f>'DOE25'!K203+'DOE25'!K221+'DOE25'!K239</f>
        <v>85207.459999999992</v>
      </c>
      <c r="I7" s="256"/>
    </row>
    <row r="8" spans="1:9" x14ac:dyDescent="0.2">
      <c r="A8" s="32">
        <v>2300</v>
      </c>
      <c r="B8" t="s">
        <v>797</v>
      </c>
      <c r="C8" s="276">
        <f t="shared" si="0"/>
        <v>359082.6700000001</v>
      </c>
      <c r="D8" s="243"/>
      <c r="E8" s="20">
        <f>'DOE25'!L204+'DOE25'!L222+'DOE25'!L240-F8-G8-H8-D9-D11</f>
        <v>346295.60000000009</v>
      </c>
      <c r="F8" s="244"/>
      <c r="G8" s="53">
        <f>'DOE25'!J204+'DOE25'!J222+'DOE25'!J240</f>
        <v>0</v>
      </c>
      <c r="H8" s="53">
        <f>'DOE25'!K204+'DOE25'!K222+'DOE25'!K240</f>
        <v>12787.07</v>
      </c>
      <c r="I8" s="256"/>
    </row>
    <row r="9" spans="1:9" ht="14.25" x14ac:dyDescent="0.2">
      <c r="A9" s="32">
        <v>2310</v>
      </c>
      <c r="B9" s="185" t="s">
        <v>890</v>
      </c>
      <c r="C9" s="276">
        <f t="shared" si="0"/>
        <v>67165.98</v>
      </c>
      <c r="D9" s="244">
        <v>67165.98</v>
      </c>
      <c r="E9" s="243"/>
      <c r="F9" s="253"/>
      <c r="G9" s="253"/>
      <c r="H9" s="253"/>
      <c r="I9" s="256"/>
    </row>
    <row r="10" spans="1:9" ht="14.25" x14ac:dyDescent="0.2">
      <c r="A10" s="32">
        <v>2317</v>
      </c>
      <c r="B10" s="185" t="s">
        <v>891</v>
      </c>
      <c r="C10" s="276">
        <f t="shared" si="0"/>
        <v>7625</v>
      </c>
      <c r="D10" s="243"/>
      <c r="E10" s="244">
        <v>7625</v>
      </c>
      <c r="F10" s="253"/>
      <c r="G10" s="253"/>
      <c r="H10" s="253"/>
      <c r="I10" s="256"/>
    </row>
    <row r="11" spans="1:9" ht="14.25" x14ac:dyDescent="0.2">
      <c r="A11" s="32">
        <v>2321</v>
      </c>
      <c r="B11" s="185" t="s">
        <v>892</v>
      </c>
      <c r="C11" s="276">
        <f t="shared" si="0"/>
        <v>177174.33</v>
      </c>
      <c r="D11" s="244">
        <v>177174.33</v>
      </c>
      <c r="E11" s="243"/>
      <c r="F11" s="253"/>
      <c r="G11" s="253"/>
      <c r="H11" s="253"/>
      <c r="I11" s="256"/>
    </row>
    <row r="12" spans="1:9" x14ac:dyDescent="0.2">
      <c r="A12" s="32">
        <v>2400</v>
      </c>
      <c r="B12" t="s">
        <v>711</v>
      </c>
      <c r="C12" s="276">
        <f t="shared" si="0"/>
        <v>970363.91000000015</v>
      </c>
      <c r="D12" s="20">
        <f>'DOE25'!L205+'DOE25'!L223+'DOE25'!L241-F12-G12-H12</f>
        <v>962638.83000000019</v>
      </c>
      <c r="E12" s="243"/>
      <c r="F12" s="244">
        <v>5361.08</v>
      </c>
      <c r="G12" s="53">
        <f>'DOE25'!J205+'DOE25'!J223+'DOE25'!J241</f>
        <v>389</v>
      </c>
      <c r="H12" s="53">
        <f>'DOE25'!K205+'DOE25'!K223+'DOE25'!K241</f>
        <v>1975</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1303623.72</v>
      </c>
      <c r="D14" s="20">
        <f>'DOE25'!L207+'DOE25'!L225+'DOE25'!L243-F14-G14-H14</f>
        <v>1071539.92</v>
      </c>
      <c r="E14" s="243"/>
      <c r="F14" s="244">
        <v>116169</v>
      </c>
      <c r="G14" s="53">
        <f>'DOE25'!J207+'DOE25'!J225+'DOE25'!J243</f>
        <v>115914.8</v>
      </c>
      <c r="H14" s="53">
        <f>'DOE25'!K207+'DOE25'!K225+'DOE25'!K243</f>
        <v>0</v>
      </c>
      <c r="I14" s="256"/>
    </row>
    <row r="15" spans="1:9" x14ac:dyDescent="0.2">
      <c r="A15" s="32">
        <v>2700</v>
      </c>
      <c r="B15" t="s">
        <v>799</v>
      </c>
      <c r="C15" s="276">
        <f t="shared" si="0"/>
        <v>832567.40999999992</v>
      </c>
      <c r="D15" s="20">
        <f>'DOE25'!L208+'DOE25'!L226+'DOE25'!L244-F15-G15-H15</f>
        <v>25728.409999999916</v>
      </c>
      <c r="E15" s="243"/>
      <c r="F15" s="244">
        <v>806839</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1038310</v>
      </c>
      <c r="D25" s="243"/>
      <c r="E25" s="243"/>
      <c r="F25" s="255"/>
      <c r="G25" s="253"/>
      <c r="H25" s="253"/>
      <c r="I25" s="254">
        <f>'DOE25'!L260+'DOE25'!L261+'DOE25'!L341+'DOE25'!L342</f>
        <v>1038310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366165.86</v>
      </c>
      <c r="D29" s="284">
        <f>'DOE25'!L358+'DOE25'!L359+'DOE25'!L360-'DOE25'!I367-F29-G29-H29</f>
        <v>39749.999999999985</v>
      </c>
      <c r="E29" s="243"/>
      <c r="F29" s="244">
        <v>315537</v>
      </c>
      <c r="G29" s="53">
        <f>'DOE25'!J358+'DOE25'!J359+'DOE25'!J360</f>
        <v>9416.76</v>
      </c>
      <c r="H29" s="53">
        <f>'DOE25'!K358+'DOE25'!K359+'DOE25'!K360</f>
        <v>1462.1</v>
      </c>
      <c r="I29" s="256"/>
    </row>
    <row r="30" spans="1:9" x14ac:dyDescent="0.2">
      <c r="A30" s="32"/>
      <c r="C30" s="277"/>
      <c r="D30" s="20"/>
      <c r="E30" s="281"/>
      <c r="F30" s="271"/>
      <c r="G30" s="53"/>
      <c r="H30" s="53"/>
      <c r="I30" s="256"/>
    </row>
    <row r="31" spans="1:9" x14ac:dyDescent="0.2">
      <c r="A31" s="32" t="s">
        <v>818</v>
      </c>
      <c r="B31" t="s">
        <v>817</v>
      </c>
      <c r="C31" s="276">
        <f>SUM(D31:I31)</f>
        <v>91998.389999999985</v>
      </c>
      <c r="D31" s="20">
        <f>'DOE25'!L290+'DOE25'!L309+'DOE25'!L328+'DOE25'!L333+'DOE25'!L334+'DOE25'!L335-F31-G31-H31</f>
        <v>50976.469999999987</v>
      </c>
      <c r="E31" s="243"/>
      <c r="F31" s="244"/>
      <c r="G31" s="53">
        <f>'DOE25'!J290+'DOE25'!J309+'DOE25'!J328+'DOE25'!J333+'DOE25'!J334+'DOE25'!J335</f>
        <v>40000</v>
      </c>
      <c r="H31" s="53">
        <f>'DOE25'!K290+'DOE25'!K309+'DOE25'!K328+'DOE25'!K333+'DOE25'!K334+'DOE25'!K335</f>
        <v>1021.92</v>
      </c>
      <c r="I31" s="256"/>
    </row>
    <row r="32" spans="1:9" ht="12" thickBot="1" x14ac:dyDescent="0.25">
      <c r="C32" s="277"/>
      <c r="G32" s="251"/>
      <c r="H32" s="251"/>
      <c r="I32" s="258"/>
    </row>
    <row r="33" spans="1:9" ht="12" thickTop="1" x14ac:dyDescent="0.2">
      <c r="B33" t="s">
        <v>809</v>
      </c>
      <c r="D33" s="245">
        <f t="shared" ref="D33:I33" si="1">SUM(D5:D31)</f>
        <v>11585528.850000003</v>
      </c>
      <c r="E33" s="245">
        <f t="shared" si="1"/>
        <v>353920.60000000009</v>
      </c>
      <c r="F33" s="245">
        <f t="shared" si="1"/>
        <v>1553088.38</v>
      </c>
      <c r="G33" s="245">
        <f t="shared" si="1"/>
        <v>386595.82</v>
      </c>
      <c r="H33" s="245">
        <f t="shared" si="1"/>
        <v>116852.89</v>
      </c>
      <c r="I33" s="245">
        <f t="shared" si="1"/>
        <v>1038310</v>
      </c>
    </row>
    <row r="35" spans="1:9" ht="12" thickBot="1" x14ac:dyDescent="0.25">
      <c r="B35" s="251" t="s">
        <v>831</v>
      </c>
      <c r="D35" s="252">
        <f>E33</f>
        <v>353920.60000000009</v>
      </c>
      <c r="E35" s="248"/>
    </row>
    <row r="36" spans="1:9" ht="12" thickTop="1" x14ac:dyDescent="0.2">
      <c r="B36" t="s">
        <v>810</v>
      </c>
      <c r="D36" s="20">
        <f>D33</f>
        <v>11585528.850000003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26" sqref="E2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WEARE SCHOOL DISTRICT</v>
      </c>
      <c r="B2" s="126">
        <f>'DOE25'!B2</f>
        <v>555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7758654.1000000006</v>
      </c>
      <c r="G4" s="303">
        <f>'DOE25'!L211+'DOE25'!L290</f>
        <v>7758654.1000000006</v>
      </c>
      <c r="H4" s="304">
        <f>F4-G4</f>
        <v>0</v>
      </c>
      <c r="I4" s="310" t="str">
        <f>IF(H4=0,"","Does not match DOE25 page 7 and 11 Totals!!")</f>
        <v/>
      </c>
      <c r="N4"/>
    </row>
    <row r="5" spans="1:18" x14ac:dyDescent="0.2">
      <c r="A5" s="21"/>
      <c r="B5" s="305" t="str">
        <f>IFERROR(VLOOKUP(A5,'School Tables'!$C$3:$D$368,2,FALSE),"")</f>
        <v/>
      </c>
      <c r="C5" s="297" t="str">
        <f>IFERROR(INDEX('School Tables'!$B$3:$B$368,MATCH('School Level Expenditures'!B5,'School Tables'!$D$3:$D$368,0)),"")</f>
        <v/>
      </c>
      <c r="D5" s="294">
        <v>7696917.2300000004</v>
      </c>
      <c r="E5" s="294">
        <v>61736.87</v>
      </c>
      <c r="F5" s="313">
        <f>D5+E5</f>
        <v>7758654.1000000006</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5863541.5799999991</v>
      </c>
      <c r="G24" s="303">
        <f>'DOE25'!L229+'DOE25'!L309</f>
        <v>5863541.5800000001</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v>5833280.0599999996</v>
      </c>
      <c r="E25" s="294">
        <v>30261.52</v>
      </c>
      <c r="F25" s="308">
        <f>D25+E25</f>
        <v>5863541.5799999991</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WEARE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349604.33</v>
      </c>
      <c r="D8" s="95">
        <f>'DOE25'!G9</f>
        <v>123934.59</v>
      </c>
      <c r="E8" s="95">
        <f>'DOE25'!H9</f>
        <v>-26838.29</v>
      </c>
      <c r="F8" s="95">
        <f>'DOE25'!I9</f>
        <v>0</v>
      </c>
      <c r="G8" s="95">
        <f>'DOE25'!J9</f>
        <v>270872.57</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4072.64</v>
      </c>
      <c r="E11" s="95">
        <f>'DOE25'!H12</f>
        <v>0</v>
      </c>
      <c r="F11" s="95">
        <f>'DOE25'!I12</f>
        <v>0</v>
      </c>
      <c r="G11" s="95">
        <f>'DOE25'!J12</f>
        <v>0</v>
      </c>
      <c r="H11" s="124"/>
      <c r="I11" s="124"/>
    </row>
    <row r="12" spans="1:9" x14ac:dyDescent="0.2">
      <c r="A12" s="1" t="s">
        <v>143</v>
      </c>
      <c r="B12" s="6">
        <v>140</v>
      </c>
      <c r="C12" s="95">
        <f>'DOE25'!F13</f>
        <v>20671.66</v>
      </c>
      <c r="D12" s="95">
        <f>'DOE25'!G13</f>
        <v>31147.83</v>
      </c>
      <c r="E12" s="95">
        <f>'DOE25'!H13</f>
        <v>36634.61</v>
      </c>
      <c r="F12" s="95">
        <f>'DOE25'!I13</f>
        <v>0</v>
      </c>
      <c r="G12" s="95">
        <f>'DOE25'!J13</f>
        <v>0</v>
      </c>
      <c r="H12" s="124"/>
      <c r="I12" s="124"/>
    </row>
    <row r="13" spans="1:9" x14ac:dyDescent="0.2">
      <c r="A13" s="1" t="s">
        <v>144</v>
      </c>
      <c r="B13" s="6">
        <v>150</v>
      </c>
      <c r="C13" s="95">
        <f>'DOE25'!F14</f>
        <v>4072.64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374348.63</v>
      </c>
      <c r="D18" s="41">
        <f>SUM(D8:D17)</f>
        <v>159155.06</v>
      </c>
      <c r="E18" s="41">
        <f>SUM(E8:E17)</f>
        <v>9796.32</v>
      </c>
      <c r="F18" s="41">
        <f>SUM(F8:F17)</f>
        <v>0</v>
      </c>
      <c r="G18" s="41">
        <f>SUM(G8:G17)</f>
        <v>270872.57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4253.1000000000004</v>
      </c>
      <c r="D23" s="95">
        <f>'DOE25'!G24</f>
        <v>0</v>
      </c>
      <c r="E23" s="95">
        <f>'DOE25'!H24</f>
        <v>0</v>
      </c>
      <c r="F23" s="95">
        <f>'DOE25'!I24</f>
        <v>0</v>
      </c>
      <c r="G23" s="95">
        <f>'DOE25'!J24</f>
        <v>0</v>
      </c>
      <c r="H23" s="124"/>
      <c r="I23" s="124"/>
    </row>
    <row r="24" spans="1:9" x14ac:dyDescent="0.2">
      <c r="A24" s="1" t="s">
        <v>153</v>
      </c>
      <c r="B24" s="6">
        <v>430</v>
      </c>
      <c r="C24" s="95">
        <f>'DOE25'!F25</f>
        <v>15990</v>
      </c>
      <c r="D24" s="95">
        <f>'DOE25'!G25</f>
        <v>25629.200000000001</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8973.75</v>
      </c>
      <c r="D27" s="95">
        <f>'DOE25'!G28</f>
        <v>0</v>
      </c>
      <c r="E27" s="95">
        <f>'DOE25'!H28</f>
        <v>0</v>
      </c>
      <c r="F27" s="95">
        <f>'DOE25'!I28</f>
        <v>0</v>
      </c>
      <c r="G27" s="24" t="s">
        <v>288</v>
      </c>
      <c r="H27" s="124"/>
      <c r="I27" s="124"/>
    </row>
    <row r="28" spans="1:9" x14ac:dyDescent="0.2">
      <c r="A28" s="1" t="s">
        <v>157</v>
      </c>
      <c r="B28" s="6">
        <v>470</v>
      </c>
      <c r="C28" s="95">
        <f>'DOE25'!F29</f>
        <v>20545.34</v>
      </c>
      <c r="D28" s="95">
        <f>'DOE25'!G29</f>
        <v>0</v>
      </c>
      <c r="E28" s="95">
        <f>'DOE25'!H29</f>
        <v>0</v>
      </c>
      <c r="F28" s="95">
        <f>'DOE25'!I29</f>
        <v>0</v>
      </c>
      <c r="G28" s="24" t="s">
        <v>288</v>
      </c>
      <c r="H28" s="124"/>
      <c r="I28" s="124"/>
    </row>
    <row r="29" spans="1:9" x14ac:dyDescent="0.2">
      <c r="A29" s="1" t="s">
        <v>158</v>
      </c>
      <c r="B29" s="6">
        <v>480</v>
      </c>
      <c r="C29" s="95">
        <f>'DOE25'!F30</f>
        <v>0</v>
      </c>
      <c r="D29" s="95">
        <f>'DOE25'!G30</f>
        <v>8585.6299999999992</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49762.19</v>
      </c>
      <c r="D31" s="41">
        <f>SUM(D21:D30)</f>
        <v>34214.83</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124940.23</v>
      </c>
      <c r="E47" s="95">
        <f>'DOE25'!H48</f>
        <v>9796.32</v>
      </c>
      <c r="F47" s="95">
        <f>'DOE25'!I48</f>
        <v>0</v>
      </c>
      <c r="G47" s="95">
        <f>'DOE25'!J48</f>
        <v>270872.57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324586.44</v>
      </c>
      <c r="D49" s="24" t="s">
        <v>288</v>
      </c>
      <c r="E49" s="24" t="s">
        <v>288</v>
      </c>
      <c r="F49" s="24" t="s">
        <v>288</v>
      </c>
      <c r="G49" s="24" t="s">
        <v>288</v>
      </c>
      <c r="H49" s="124"/>
      <c r="I49" s="124"/>
    </row>
    <row r="50" spans="1:9" ht="12.75" thickTop="1" thickBot="1" x14ac:dyDescent="0.25">
      <c r="A50" s="38" t="s">
        <v>884</v>
      </c>
      <c r="B50" s="48"/>
      <c r="C50" s="41">
        <f>SUM(C34:C49)</f>
        <v>324586.44</v>
      </c>
      <c r="D50" s="41">
        <f>SUM(D34:D49)</f>
        <v>124940.23</v>
      </c>
      <c r="E50" s="41">
        <f>SUM(E34:E49)</f>
        <v>9796.32</v>
      </c>
      <c r="F50" s="41">
        <f>SUM(F34:F49)</f>
        <v>0</v>
      </c>
      <c r="G50" s="41">
        <f>SUM(G34:G49)</f>
        <v>270872.57</v>
      </c>
      <c r="H50" s="124"/>
      <c r="I50" s="124"/>
    </row>
    <row r="51" spans="1:9" ht="12" thickTop="1" x14ac:dyDescent="0.2">
      <c r="A51" s="38" t="s">
        <v>885</v>
      </c>
      <c r="B51" s="2"/>
      <c r="C51" s="41">
        <f>C50+C31</f>
        <v>374348.63</v>
      </c>
      <c r="D51" s="41">
        <f>D50+D31</f>
        <v>159155.06</v>
      </c>
      <c r="E51" s="41">
        <f>E50+E31</f>
        <v>9796.32</v>
      </c>
      <c r="F51" s="41">
        <f>F50+F31</f>
        <v>0</v>
      </c>
      <c r="G51" s="41">
        <f>G50+G31</f>
        <v>270872.57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7754792.2999999998</v>
      </c>
      <c r="D56" s="95">
        <f>'DOE25'!G60</f>
        <v>0</v>
      </c>
      <c r="E56" s="95">
        <f>'DOE25'!H60</f>
        <v>0</v>
      </c>
      <c r="F56" s="95">
        <f>'DOE25'!I60</f>
        <v>0</v>
      </c>
      <c r="G56" s="95">
        <f>'DOE25'!J60</f>
        <v>0</v>
      </c>
      <c r="H56"/>
      <c r="I56"/>
    </row>
    <row r="57" spans="1:9" x14ac:dyDescent="0.2">
      <c r="A57" s="1" t="s">
        <v>164</v>
      </c>
      <c r="B57" s="6" t="s">
        <v>165</v>
      </c>
      <c r="C57" s="95">
        <f>'DOE25'!F79</f>
        <v>15250</v>
      </c>
      <c r="D57" s="24" t="s">
        <v>288</v>
      </c>
      <c r="E57" s="95">
        <f>'DOE25'!H79</f>
        <v>0</v>
      </c>
      <c r="F57" s="24" t="s">
        <v>288</v>
      </c>
      <c r="G57" s="24" t="s">
        <v>288</v>
      </c>
      <c r="H57"/>
      <c r="I57"/>
    </row>
    <row r="58" spans="1:9" x14ac:dyDescent="0.2">
      <c r="A58" s="1" t="s">
        <v>166</v>
      </c>
      <c r="B58" s="6" t="s">
        <v>167</v>
      </c>
      <c r="C58" s="95">
        <f>'DOE25'!F94</f>
        <v>85648</v>
      </c>
      <c r="D58" s="24" t="s">
        <v>288</v>
      </c>
      <c r="E58" s="95">
        <f>'DOE25'!H94</f>
        <v>0</v>
      </c>
      <c r="F58" s="24" t="s">
        <v>288</v>
      </c>
      <c r="G58" s="24" t="s">
        <v>288</v>
      </c>
      <c r="H58"/>
      <c r="I58"/>
    </row>
    <row r="59" spans="1:9" x14ac:dyDescent="0.2">
      <c r="A59" s="69" t="s">
        <v>168</v>
      </c>
      <c r="B59" s="37" t="s">
        <v>169</v>
      </c>
      <c r="C59" s="95">
        <f>'DOE25'!F96</f>
        <v>7803.74</v>
      </c>
      <c r="D59" s="95">
        <f>'DOE25'!G96</f>
        <v>0</v>
      </c>
      <c r="E59" s="95">
        <f>'DOE25'!H96</f>
        <v>0</v>
      </c>
      <c r="F59" s="95">
        <f>'DOE25'!I96</f>
        <v>0</v>
      </c>
      <c r="G59" s="95">
        <f>'DOE25'!J96</f>
        <v>811.32</v>
      </c>
      <c r="H59"/>
      <c r="I59"/>
    </row>
    <row r="60" spans="1:9" x14ac:dyDescent="0.2">
      <c r="A60" s="1" t="s">
        <v>170</v>
      </c>
      <c r="B60" s="118" t="s">
        <v>171</v>
      </c>
      <c r="C60" s="24" t="s">
        <v>288</v>
      </c>
      <c r="D60" s="95">
        <f>'DOE25'!G97</f>
        <v>229375.07</v>
      </c>
      <c r="E60" s="24" t="s">
        <v>288</v>
      </c>
      <c r="F60" s="24" t="s">
        <v>288</v>
      </c>
      <c r="G60" s="24" t="s">
        <v>288</v>
      </c>
      <c r="H60"/>
      <c r="I60"/>
    </row>
    <row r="61" spans="1:9" ht="12" thickBot="1" x14ac:dyDescent="0.25">
      <c r="A61" s="1" t="s">
        <v>172</v>
      </c>
      <c r="B61" s="118" t="s">
        <v>173</v>
      </c>
      <c r="C61" s="95">
        <f>SUM('DOE25'!F98:F110)</f>
        <v>76906.67</v>
      </c>
      <c r="D61" s="95">
        <f>SUM('DOE25'!G98:G110)</f>
        <v>0</v>
      </c>
      <c r="E61" s="95">
        <f>SUM('DOE25'!H98:H110)</f>
        <v>40456.15</v>
      </c>
      <c r="F61" s="95">
        <f>SUM('DOE25'!I98:I110)</f>
        <v>0</v>
      </c>
      <c r="G61" s="95">
        <f>SUM('DOE25'!J98:J110)</f>
        <v>0</v>
      </c>
      <c r="H61"/>
      <c r="I61"/>
    </row>
    <row r="62" spans="1:9" ht="12.75" thickTop="1" thickBot="1" x14ac:dyDescent="0.25">
      <c r="A62" s="29" t="s">
        <v>174</v>
      </c>
      <c r="B62" s="6"/>
      <c r="C62" s="130">
        <f>SUM(C57:C61)</f>
        <v>185608.41</v>
      </c>
      <c r="D62" s="130">
        <f>SUM(D57:D61)</f>
        <v>229375.07</v>
      </c>
      <c r="E62" s="130">
        <f>SUM(E57:E61)</f>
        <v>40456.15</v>
      </c>
      <c r="F62" s="130">
        <f>SUM(F57:F61)</f>
        <v>0</v>
      </c>
      <c r="G62" s="130">
        <f>SUM(G57:G61)</f>
        <v>811.32</v>
      </c>
      <c r="H62"/>
      <c r="I62"/>
    </row>
    <row r="63" spans="1:9" ht="12" thickTop="1" x14ac:dyDescent="0.2">
      <c r="A63" s="29" t="s">
        <v>175</v>
      </c>
      <c r="B63" s="6"/>
      <c r="C63" s="22">
        <f>C56+C62</f>
        <v>7940400.71</v>
      </c>
      <c r="D63" s="22">
        <f>D56+D62</f>
        <v>229375.07</v>
      </c>
      <c r="E63" s="22">
        <f>E56+E62</f>
        <v>40456.15</v>
      </c>
      <c r="F63" s="22">
        <f>F56+F62</f>
        <v>0</v>
      </c>
      <c r="G63" s="22">
        <f>G56+G62</f>
        <v>811.32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4794696.55</v>
      </c>
      <c r="D66" s="24" t="s">
        <v>288</v>
      </c>
      <c r="E66" s="24" t="s">
        <v>288</v>
      </c>
      <c r="F66" s="24" t="s">
        <v>288</v>
      </c>
      <c r="G66" s="24" t="s">
        <v>288</v>
      </c>
      <c r="H66"/>
      <c r="I66"/>
    </row>
    <row r="67" spans="1:9" x14ac:dyDescent="0.2">
      <c r="A67" s="1" t="s">
        <v>770</v>
      </c>
      <c r="B67" s="6">
        <v>3112</v>
      </c>
      <c r="C67" s="95">
        <f>'DOE25'!F118</f>
        <v>1171468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489.02</v>
      </c>
      <c r="D69" s="95">
        <f>'DOE25'!G120</f>
        <v>0</v>
      </c>
      <c r="E69" s="95">
        <f>'DOE25'!H120</f>
        <v>0</v>
      </c>
      <c r="F69" s="95">
        <f>'DOE25'!I120</f>
        <v>0</v>
      </c>
      <c r="G69" s="95">
        <f>'DOE25'!J120</f>
        <v>0</v>
      </c>
      <c r="H69"/>
      <c r="I69"/>
    </row>
    <row r="70" spans="1:9" ht="12" thickTop="1" x14ac:dyDescent="0.2">
      <c r="A70" s="29" t="s">
        <v>252</v>
      </c>
      <c r="B70" s="2"/>
      <c r="C70" s="139">
        <f>SUM(C66:C69)</f>
        <v>5966653.5699999994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369686.39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55424.36</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5341.09</v>
      </c>
      <c r="E77" s="95">
        <f>SUM('DOE25'!H131:H135)</f>
        <v>0</v>
      </c>
      <c r="F77" s="95">
        <f>SUM('DOE25'!I131:I135)</f>
        <v>0</v>
      </c>
      <c r="G77" s="95">
        <f>SUM('DOE25'!J131:J135)</f>
        <v>0</v>
      </c>
      <c r="H77"/>
      <c r="I77"/>
    </row>
    <row r="78" spans="1:9" ht="12.75" thickTop="1" thickBot="1" x14ac:dyDescent="0.25">
      <c r="A78" s="29" t="s">
        <v>259</v>
      </c>
      <c r="B78" s="6"/>
      <c r="C78" s="130">
        <f>SUM(C72:C77)</f>
        <v>425110.75</v>
      </c>
      <c r="D78" s="130">
        <f>SUM(D72:D77)</f>
        <v>5341.09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6391764.3199999994</v>
      </c>
      <c r="D81" s="130">
        <f>SUM(D79:D80)+D78+D70</f>
        <v>5341.09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90356.95</v>
      </c>
      <c r="D88" s="95">
        <f>SUM('DOE25'!G153:G161)</f>
        <v>109029.62</v>
      </c>
      <c r="E88" s="95">
        <f>SUM('DOE25'!H153:H161)</f>
        <v>51748.39</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90356.95</v>
      </c>
      <c r="D91" s="131">
        <f>SUM(D85:D90)</f>
        <v>109029.62</v>
      </c>
      <c r="E91" s="131">
        <f>SUM(E85:E90)</f>
        <v>51748.39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14422521.979999999</v>
      </c>
      <c r="D104" s="86">
        <f>D63+D81+D91+D103</f>
        <v>343745.78</v>
      </c>
      <c r="E104" s="86">
        <f>E63+E81+E91+E103</f>
        <v>92204.540000000008</v>
      </c>
      <c r="F104" s="86">
        <f>F63+F81+F91+F103</f>
        <v>0</v>
      </c>
      <c r="G104" s="86">
        <f>G63+G81+G103</f>
        <v>811.32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5616119.6699999999</v>
      </c>
      <c r="D109" s="24" t="s">
        <v>288</v>
      </c>
      <c r="E109" s="95">
        <f>('DOE25'!L276)+('DOE25'!L295)+('DOE25'!L314)</f>
        <v>3546.0299999999997</v>
      </c>
      <c r="F109" s="24" t="s">
        <v>288</v>
      </c>
      <c r="G109" s="24" t="s">
        <v>288</v>
      </c>
    </row>
    <row r="110" spans="1:7" x14ac:dyDescent="0.2">
      <c r="A110" t="s">
        <v>198</v>
      </c>
      <c r="B110" s="32" t="s">
        <v>199</v>
      </c>
      <c r="C110" s="95">
        <f>('DOE25'!L198)+('DOE25'!L216)+('DOE25'!L234)</f>
        <v>2273364.5299999998</v>
      </c>
      <c r="D110" s="24" t="s">
        <v>288</v>
      </c>
      <c r="E110" s="95">
        <f>('DOE25'!L277)+('DOE25'!L296)+('DOE25'!L315)</f>
        <v>0</v>
      </c>
      <c r="F110" s="24" t="s">
        <v>288</v>
      </c>
      <c r="G110" s="24" t="s">
        <v>288</v>
      </c>
    </row>
    <row r="111" spans="1:7" x14ac:dyDescent="0.2">
      <c r="A111" t="s">
        <v>200</v>
      </c>
      <c r="B111" s="32" t="s">
        <v>165</v>
      </c>
      <c r="C111" s="95">
        <f>('DOE25'!L199)+('DOE25'!L217)+('DOE25'!L235)</f>
        <v>116955.14</v>
      </c>
      <c r="D111" s="24" t="s">
        <v>288</v>
      </c>
      <c r="E111" s="95">
        <f>('DOE25'!L278)+('DOE25'!L297)+('DOE25'!L316)</f>
        <v>0</v>
      </c>
      <c r="F111" s="24" t="s">
        <v>288</v>
      </c>
      <c r="G111" s="24" t="s">
        <v>288</v>
      </c>
    </row>
    <row r="112" spans="1:7" x14ac:dyDescent="0.2">
      <c r="A112" t="s">
        <v>201</v>
      </c>
      <c r="B112" s="32" t="s">
        <v>167</v>
      </c>
      <c r="C112" s="95">
        <f>('DOE25'!L200)+('DOE25'!L218)+('DOE25'!L236)</f>
        <v>85498.02</v>
      </c>
      <c r="D112" s="24" t="s">
        <v>288</v>
      </c>
      <c r="E112" s="95">
        <f>+('DOE25'!L279)+('DOE25'!L298)+('DOE25'!L317)</f>
        <v>10228.799999999999</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8091937.3599999985</v>
      </c>
      <c r="D115" s="86">
        <f>SUM(D109:D114)</f>
        <v>0</v>
      </c>
      <c r="E115" s="86">
        <f>SUM(E109:E114)</f>
        <v>13774.829999999998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1095657.95</v>
      </c>
      <c r="D118" s="24" t="s">
        <v>288</v>
      </c>
      <c r="E118" s="95">
        <f>+('DOE25'!L281)+('DOE25'!L300)+('DOE25'!L319)</f>
        <v>0</v>
      </c>
      <c r="F118" s="24" t="s">
        <v>288</v>
      </c>
      <c r="G118" s="24" t="s">
        <v>288</v>
      </c>
    </row>
    <row r="119" spans="1:7" x14ac:dyDescent="0.2">
      <c r="A119" t="s">
        <v>208</v>
      </c>
      <c r="B119" s="32" t="s">
        <v>209</v>
      </c>
      <c r="C119" s="95">
        <f>('DOE25'!L203)+('DOE25'!L221)+('DOE25'!L239)</f>
        <v>632623.96000000008</v>
      </c>
      <c r="D119" s="24" t="s">
        <v>288</v>
      </c>
      <c r="E119" s="95">
        <f>+('DOE25'!L282)+('DOE25'!L301)+('DOE25'!L320)</f>
        <v>38223.56</v>
      </c>
      <c r="F119" s="24" t="s">
        <v>288</v>
      </c>
      <c r="G119" s="24" t="s">
        <v>288</v>
      </c>
    </row>
    <row r="120" spans="1:7" x14ac:dyDescent="0.2">
      <c r="A120" t="s">
        <v>210</v>
      </c>
      <c r="B120" s="32" t="s">
        <v>211</v>
      </c>
      <c r="C120" s="95">
        <f>('DOE25'!L204)+('DOE25'!L222)+('DOE25'!L240)</f>
        <v>603422.98</v>
      </c>
      <c r="D120" s="24" t="s">
        <v>288</v>
      </c>
      <c r="E120" s="95">
        <f>+('DOE25'!L283)+('DOE25'!L302)+('DOE25'!L321)</f>
        <v>0</v>
      </c>
      <c r="F120" s="24" t="s">
        <v>288</v>
      </c>
      <c r="G120" s="24" t="s">
        <v>288</v>
      </c>
    </row>
    <row r="121" spans="1:7" x14ac:dyDescent="0.2">
      <c r="A121" t="s">
        <v>212</v>
      </c>
      <c r="B121" s="32" t="s">
        <v>213</v>
      </c>
      <c r="C121" s="95">
        <f>('DOE25'!L205)+('DOE25'!L223)+('DOE25'!L241)</f>
        <v>970363.91000000015</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1303623.72</v>
      </c>
      <c r="D123" s="24" t="s">
        <v>288</v>
      </c>
      <c r="E123" s="95">
        <f>+('DOE25'!L286)+('DOE25'!L305)+('DOE25'!L324)</f>
        <v>40000</v>
      </c>
      <c r="F123" s="24" t="s">
        <v>288</v>
      </c>
      <c r="G123" s="24" t="s">
        <v>288</v>
      </c>
    </row>
    <row r="124" spans="1:7" x14ac:dyDescent="0.2">
      <c r="A124" t="s">
        <v>218</v>
      </c>
      <c r="B124" s="32" t="s">
        <v>219</v>
      </c>
      <c r="C124" s="95">
        <f>('DOE25'!L208)+('DOE25'!L226)+('DOE25'!L244+'DOE25'!L254)</f>
        <v>832567.40999999992</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366165.86</v>
      </c>
      <c r="E127" s="24" t="s">
        <v>288</v>
      </c>
      <c r="F127" s="24" t="s">
        <v>288</v>
      </c>
      <c r="G127" s="24" t="s">
        <v>288</v>
      </c>
    </row>
    <row r="128" spans="1:7" ht="12.75" thickTop="1" thickBot="1" x14ac:dyDescent="0.25">
      <c r="A128" s="33" t="s">
        <v>226</v>
      </c>
      <c r="C128" s="86">
        <f>SUM(C118:C127)</f>
        <v>5438259.9300000006</v>
      </c>
      <c r="D128" s="86">
        <f>SUM(D118:D127)</f>
        <v>366165.86</v>
      </c>
      <c r="E128" s="86">
        <f>SUM(E118:E127)</f>
        <v>78223.56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910000</v>
      </c>
      <c r="D131" s="24" t="s">
        <v>288</v>
      </c>
      <c r="E131" s="129">
        <f>'DOE25'!L341</f>
        <v>0</v>
      </c>
      <c r="F131" s="24" t="s">
        <v>288</v>
      </c>
      <c r="G131" s="24" t="s">
        <v>288</v>
      </c>
    </row>
    <row r="132" spans="1:7" x14ac:dyDescent="0.2">
      <c r="A132" t="s">
        <v>230</v>
      </c>
      <c r="B132" s="32">
        <v>5120</v>
      </c>
      <c r="C132" s="95">
        <f>'DOE25'!L261</f>
        <v>128310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170.65</v>
      </c>
      <c r="D138" s="24" t="s">
        <v>288</v>
      </c>
      <c r="E138" s="24" t="s">
        <v>288</v>
      </c>
      <c r="F138" s="24" t="s">
        <v>288</v>
      </c>
      <c r="G138" s="24" t="s">
        <v>288</v>
      </c>
    </row>
    <row r="139" spans="1:7" x14ac:dyDescent="0.2">
      <c r="A139" t="s">
        <v>239</v>
      </c>
      <c r="B139" s="32">
        <v>5252</v>
      </c>
      <c r="C139" s="95">
        <f>'DOE25'!L401</f>
        <v>640.66999999999996</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-811.31999999999994</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1038310.0000000001</v>
      </c>
      <c r="D144" s="141">
        <f>SUM(D130:D143)</f>
        <v>0</v>
      </c>
      <c r="E144" s="141">
        <f>SUM(E130:E143)</f>
        <v>0</v>
      </c>
      <c r="F144" s="141">
        <f>SUM(F130:F143)</f>
        <v>0</v>
      </c>
      <c r="G144" s="141">
        <f>SUM(G130:G143)</f>
        <v>0</v>
      </c>
    </row>
    <row r="145" spans="1:9" ht="12.75" thickTop="1" thickBot="1" x14ac:dyDescent="0.25">
      <c r="A145" s="33" t="s">
        <v>244</v>
      </c>
      <c r="C145" s="86">
        <f>(C115+C128+C144)</f>
        <v>14568507.289999999</v>
      </c>
      <c r="D145" s="86">
        <f>(D115+D128+D144)</f>
        <v>366165.86</v>
      </c>
      <c r="E145" s="86">
        <f>(E115+E128+E144)</f>
        <v>91998.39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11</v>
      </c>
      <c r="C151" s="153">
        <f>'DOE25'!G490</f>
        <v>15</v>
      </c>
      <c r="D151" s="153">
        <f>'DOE25'!H490</f>
        <v>0</v>
      </c>
      <c r="E151" s="153">
        <f>'DOE25'!I490</f>
        <v>0</v>
      </c>
      <c r="F151" s="153">
        <f>'DOE25'!J490</f>
        <v>0</v>
      </c>
      <c r="G151" s="24" t="s">
        <v>288</v>
      </c>
    </row>
    <row r="152" spans="1:9" x14ac:dyDescent="0.2">
      <c r="A152" s="136" t="s">
        <v>28</v>
      </c>
      <c r="B152" s="152" t="str">
        <f>'DOE25'!F491</f>
        <v>8/1/2015</v>
      </c>
      <c r="C152" s="152" t="str">
        <f>'DOE25'!G491</f>
        <v>6/21/2019</v>
      </c>
      <c r="D152" s="152">
        <f>'DOE25'!H491</f>
        <v>0</v>
      </c>
      <c r="E152" s="152">
        <f>'DOE25'!I491</f>
        <v>0</v>
      </c>
      <c r="F152" s="152">
        <f>'DOE25'!J491</f>
        <v>0</v>
      </c>
      <c r="G152" s="24" t="s">
        <v>288</v>
      </c>
    </row>
    <row r="153" spans="1:9" x14ac:dyDescent="0.2">
      <c r="A153" s="136" t="s">
        <v>29</v>
      </c>
      <c r="B153" s="152" t="str">
        <f>'DOE25'!F492</f>
        <v>6/30/2026</v>
      </c>
      <c r="C153" s="152" t="str">
        <f>'DOE25'!G492</f>
        <v>06/28/2034</v>
      </c>
      <c r="D153" s="152">
        <f>'DOE25'!H492</f>
        <v>0</v>
      </c>
      <c r="E153" s="152">
        <f>'DOE25'!I492</f>
        <v>0</v>
      </c>
      <c r="F153" s="152">
        <f>'DOE25'!J492</f>
        <v>0</v>
      </c>
      <c r="G153" s="24" t="s">
        <v>288</v>
      </c>
    </row>
    <row r="154" spans="1:9" x14ac:dyDescent="0.2">
      <c r="A154" s="136" t="s">
        <v>30</v>
      </c>
      <c r="B154" s="137">
        <f>'DOE25'!F493</f>
        <v>10217500</v>
      </c>
      <c r="C154" s="137">
        <f>'DOE25'!G493</f>
        <v>693000</v>
      </c>
      <c r="D154" s="137">
        <f>'DOE25'!H493</f>
        <v>0</v>
      </c>
      <c r="E154" s="137">
        <f>'DOE25'!I493</f>
        <v>0</v>
      </c>
      <c r="F154" s="137">
        <f>'DOE25'!J493</f>
        <v>0</v>
      </c>
      <c r="G154" s="24" t="s">
        <v>288</v>
      </c>
    </row>
    <row r="155" spans="1:9" x14ac:dyDescent="0.2">
      <c r="A155" s="136" t="s">
        <v>31</v>
      </c>
      <c r="B155" s="137">
        <f>'DOE25'!F494</f>
        <v>1.88</v>
      </c>
      <c r="C155" s="137">
        <f>'DOE25'!G494</f>
        <v>3.79</v>
      </c>
      <c r="D155" s="137">
        <f>'DOE25'!H494</f>
        <v>0</v>
      </c>
      <c r="E155" s="137">
        <f>'DOE25'!I494</f>
        <v>0</v>
      </c>
      <c r="F155" s="137">
        <f>'DOE25'!J494</f>
        <v>0</v>
      </c>
      <c r="G155" s="24" t="s">
        <v>288</v>
      </c>
    </row>
    <row r="156" spans="1:9" x14ac:dyDescent="0.2">
      <c r="A156" s="22" t="s">
        <v>32</v>
      </c>
      <c r="B156" s="137">
        <f>'DOE25'!F495</f>
        <v>7280000</v>
      </c>
      <c r="C156" s="137">
        <f>'DOE25'!G495</f>
        <v>693000</v>
      </c>
      <c r="D156" s="137">
        <f>'DOE25'!H495</f>
        <v>0</v>
      </c>
      <c r="E156" s="137">
        <f>'DOE25'!I495</f>
        <v>0</v>
      </c>
      <c r="F156" s="137">
        <f>'DOE25'!J495</f>
        <v>0</v>
      </c>
      <c r="G156" s="138">
        <f>SUM(B156:F156)</f>
        <v>7973000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910000</v>
      </c>
      <c r="C158" s="137">
        <f>'DOE25'!G497</f>
        <v>0</v>
      </c>
      <c r="D158" s="137">
        <f>'DOE25'!H497</f>
        <v>0</v>
      </c>
      <c r="E158" s="137">
        <f>'DOE25'!I497</f>
        <v>0</v>
      </c>
      <c r="F158" s="137">
        <f>'DOE25'!J497</f>
        <v>0</v>
      </c>
      <c r="G158" s="138">
        <f t="shared" si="0"/>
        <v>910000</v>
      </c>
    </row>
    <row r="159" spans="1:9" x14ac:dyDescent="0.2">
      <c r="A159" s="22" t="s">
        <v>35</v>
      </c>
      <c r="B159" s="137">
        <f>'DOE25'!F498</f>
        <v>6370000</v>
      </c>
      <c r="C159" s="137">
        <f>'DOE25'!G498</f>
        <v>693000</v>
      </c>
      <c r="D159" s="137">
        <f>'DOE25'!H498</f>
        <v>0</v>
      </c>
      <c r="E159" s="137">
        <f>'DOE25'!I498</f>
        <v>0</v>
      </c>
      <c r="F159" s="137">
        <f>'DOE25'!J498</f>
        <v>0</v>
      </c>
      <c r="G159" s="138">
        <f t="shared" si="0"/>
        <v>7063000</v>
      </c>
    </row>
    <row r="160" spans="1:9" x14ac:dyDescent="0.2">
      <c r="A160" s="22" t="s">
        <v>36</v>
      </c>
      <c r="B160" s="137">
        <f>'DOE25'!F499</f>
        <v>419146</v>
      </c>
      <c r="C160" s="137">
        <f>'DOE25'!G499</f>
        <v>235854.69</v>
      </c>
      <c r="D160" s="137">
        <f>'DOE25'!H499</f>
        <v>0</v>
      </c>
      <c r="E160" s="137">
        <f>'DOE25'!I499</f>
        <v>0</v>
      </c>
      <c r="F160" s="137">
        <f>'DOE25'!J499</f>
        <v>0</v>
      </c>
      <c r="G160" s="138">
        <f t="shared" si="0"/>
        <v>655000.68999999994</v>
      </c>
    </row>
    <row r="161" spans="1:7" x14ac:dyDescent="0.2">
      <c r="A161" s="22" t="s">
        <v>37</v>
      </c>
      <c r="B161" s="137">
        <f>'DOE25'!F500</f>
        <v>6789146</v>
      </c>
      <c r="C161" s="137">
        <f>'DOE25'!G500</f>
        <v>928854.69</v>
      </c>
      <c r="D161" s="137">
        <f>'DOE25'!H500</f>
        <v>0</v>
      </c>
      <c r="E161" s="137">
        <f>'DOE25'!I500</f>
        <v>0</v>
      </c>
      <c r="F161" s="137">
        <f>'DOE25'!J500</f>
        <v>0</v>
      </c>
      <c r="G161" s="138">
        <f t="shared" si="0"/>
        <v>7718000.6899999995</v>
      </c>
    </row>
    <row r="162" spans="1:7" x14ac:dyDescent="0.2">
      <c r="A162" s="22" t="s">
        <v>38</v>
      </c>
      <c r="B162" s="137">
        <f>'DOE25'!F501</f>
        <v>910000</v>
      </c>
      <c r="C162" s="137">
        <f>'DOE25'!G501</f>
        <v>27735.3</v>
      </c>
      <c r="D162" s="137">
        <f>'DOE25'!H501</f>
        <v>0</v>
      </c>
      <c r="E162" s="137">
        <f>'DOE25'!I501</f>
        <v>0</v>
      </c>
      <c r="F162" s="137">
        <f>'DOE25'!J501</f>
        <v>0</v>
      </c>
      <c r="G162" s="138">
        <f t="shared" si="0"/>
        <v>937735.3</v>
      </c>
    </row>
    <row r="163" spans="1:7" x14ac:dyDescent="0.2">
      <c r="A163" s="22" t="s">
        <v>39</v>
      </c>
      <c r="B163" s="137">
        <f>'DOE25'!F502</f>
        <v>111202</v>
      </c>
      <c r="C163" s="137">
        <f>'DOE25'!G502</f>
        <v>26264.7</v>
      </c>
      <c r="D163" s="137">
        <f>'DOE25'!H502</f>
        <v>0</v>
      </c>
      <c r="E163" s="137">
        <f>'DOE25'!I502</f>
        <v>0</v>
      </c>
      <c r="F163" s="137">
        <f>'DOE25'!J502</f>
        <v>0</v>
      </c>
      <c r="G163" s="138">
        <f t="shared" si="0"/>
        <v>137466.70000000001</v>
      </c>
    </row>
    <row r="164" spans="1:7" x14ac:dyDescent="0.2">
      <c r="A164" s="22" t="s">
        <v>246</v>
      </c>
      <c r="B164" s="137">
        <f>'DOE25'!F503</f>
        <v>1021202</v>
      </c>
      <c r="C164" s="137">
        <f>'DOE25'!G503</f>
        <v>54000</v>
      </c>
      <c r="D164" s="137">
        <f>'DOE25'!H503</f>
        <v>0</v>
      </c>
      <c r="E164" s="137">
        <f>'DOE25'!I503</f>
        <v>0</v>
      </c>
      <c r="F164" s="137">
        <f>'DOE25'!J503</f>
        <v>0</v>
      </c>
      <c r="G164" s="138">
        <f t="shared" si="0"/>
        <v>1075202</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WEARE SCHOOL DISTRICT</v>
      </c>
    </row>
    <row r="3" spans="1:4" x14ac:dyDescent="0.2">
      <c r="B3" s="188" t="s">
        <v>1602</v>
      </c>
    </row>
    <row r="4" spans="1:4" x14ac:dyDescent="0.2">
      <c r="B4" t="s">
        <v>61</v>
      </c>
      <c r="C4" s="179">
        <f>IF('DOE25'!F665+'DOE25'!F670=0,0,ROUND('DOE25'!F672,0))</f>
        <v>12169</v>
      </c>
    </row>
    <row r="5" spans="1:4" x14ac:dyDescent="0.2">
      <c r="B5" t="s">
        <v>700</v>
      </c>
      <c r="C5" s="179">
        <f>IF('DOE25'!G665+'DOE25'!G670=0,0,ROUND('DOE25'!G672,0))</f>
        <v>15679</v>
      </c>
    </row>
    <row r="6" spans="1:4" x14ac:dyDescent="0.2">
      <c r="B6" t="s">
        <v>62</v>
      </c>
      <c r="C6" s="179">
        <f>IF('DOE25'!H665+'DOE25'!H670=0,0,ROUND('DOE25'!H672,0))</f>
        <v>0</v>
      </c>
    </row>
    <row r="7" spans="1:4" x14ac:dyDescent="0.2">
      <c r="B7" t="s">
        <v>701</v>
      </c>
      <c r="C7" s="179">
        <f>IF('DOE25'!I665+'DOE25'!I670=0,0,ROUND('DOE25'!I672,0))</f>
        <v>13456</v>
      </c>
    </row>
    <row r="9" spans="1:4" x14ac:dyDescent="0.2">
      <c r="A9" s="187" t="s">
        <v>94</v>
      </c>
      <c r="B9" s="188" t="s">
        <v>1603</v>
      </c>
      <c r="C9" s="181" t="s">
        <v>720</v>
      </c>
      <c r="D9" s="181" t="s">
        <v>721</v>
      </c>
    </row>
    <row r="10" spans="1:4" x14ac:dyDescent="0.2">
      <c r="A10">
        <v>1100</v>
      </c>
      <c r="B10" t="s">
        <v>702</v>
      </c>
      <c r="C10" s="179">
        <f>ROUND('DOE25'!L197+'DOE25'!L215+'DOE25'!L233+'DOE25'!L276+'DOE25'!L295+'DOE25'!L314,0)</f>
        <v>5619666</v>
      </c>
      <c r="D10" s="182">
        <f>ROUND((C10/$C$28)*100,1)</f>
        <v>40.5</v>
      </c>
    </row>
    <row r="11" spans="1:4" x14ac:dyDescent="0.2">
      <c r="A11">
        <v>1200</v>
      </c>
      <c r="B11" t="s">
        <v>703</v>
      </c>
      <c r="C11" s="179">
        <f>ROUND('DOE25'!L198+'DOE25'!L216+'DOE25'!L234+'DOE25'!L277+'DOE25'!L296+'DOE25'!L315,0)</f>
        <v>2273365</v>
      </c>
      <c r="D11" s="182">
        <f>ROUND((C11/$C$28)*100,1)</f>
        <v>16.399999999999999</v>
      </c>
    </row>
    <row r="12" spans="1:4" x14ac:dyDescent="0.2">
      <c r="A12">
        <v>1300</v>
      </c>
      <c r="B12" t="s">
        <v>704</v>
      </c>
      <c r="C12" s="179">
        <f>ROUND('DOE25'!L199+'DOE25'!L217+'DOE25'!L235+'DOE25'!L278+'DOE25'!L297+'DOE25'!L316,0)</f>
        <v>116955</v>
      </c>
      <c r="D12" s="182">
        <f>ROUND((C12/$C$28)*100,1)</f>
        <v>0.8</v>
      </c>
    </row>
    <row r="13" spans="1:4" x14ac:dyDescent="0.2">
      <c r="A13">
        <v>1400</v>
      </c>
      <c r="B13" t="s">
        <v>705</v>
      </c>
      <c r="C13" s="179">
        <f>ROUND('DOE25'!L200+'DOE25'!L218+'DOE25'!L236+'DOE25'!L279+'DOE25'!L298+'DOE25'!L317,0)</f>
        <v>95727</v>
      </c>
      <c r="D13" s="182">
        <f>ROUND((C13/$C$28)*100,1)</f>
        <v>0.7</v>
      </c>
    </row>
    <row r="14" spans="1:4" x14ac:dyDescent="0.2">
      <c r="D14" s="182"/>
    </row>
    <row r="15" spans="1:4" x14ac:dyDescent="0.2">
      <c r="A15">
        <v>2100</v>
      </c>
      <c r="B15" t="s">
        <v>706</v>
      </c>
      <c r="C15" s="179">
        <f>ROUND('DOE25'!L202+'DOE25'!L220+'DOE25'!L238+'DOE25'!L281+'DOE25'!L300+'DOE25'!L319,0)</f>
        <v>1095658</v>
      </c>
      <c r="D15" s="182">
        <f t="shared" ref="D15:D27" si="0">ROUND((C15/$C$28)*100,1)</f>
        <v>7.9</v>
      </c>
    </row>
    <row r="16" spans="1:4" x14ac:dyDescent="0.2">
      <c r="A16">
        <v>2200</v>
      </c>
      <c r="B16" t="s">
        <v>707</v>
      </c>
      <c r="C16" s="179">
        <f>ROUND('DOE25'!L203+'DOE25'!L221+'DOE25'!L239+'DOE25'!L282+'DOE25'!L301+'DOE25'!L320,0)</f>
        <v>670848</v>
      </c>
      <c r="D16" s="182">
        <f t="shared" si="0"/>
        <v>4.8</v>
      </c>
    </row>
    <row r="17" spans="1:4" x14ac:dyDescent="0.2">
      <c r="A17" s="183" t="s">
        <v>723</v>
      </c>
      <c r="B17" t="s">
        <v>738</v>
      </c>
      <c r="C17" s="179">
        <f>ROUND('DOE25'!L204+'DOE25'!L209+'DOE25'!L222+'DOE25'!L227+'DOE25'!L240+'DOE25'!L245+'DOE25'!L283+'DOE25'!L288+'DOE25'!L302+'DOE25'!L307+'DOE25'!L321+'DOE25'!L326,0)</f>
        <v>603423</v>
      </c>
      <c r="D17" s="182">
        <f t="shared" si="0"/>
        <v>4.3</v>
      </c>
    </row>
    <row r="18" spans="1:4" x14ac:dyDescent="0.2">
      <c r="A18">
        <v>2400</v>
      </c>
      <c r="B18" t="s">
        <v>711</v>
      </c>
      <c r="C18" s="179">
        <f>ROUND('DOE25'!L205+'DOE25'!L223+'DOE25'!L241+'DOE25'!L284+'DOE25'!L303+'DOE25'!L322,0)</f>
        <v>970364</v>
      </c>
      <c r="D18" s="182">
        <f t="shared" si="0"/>
        <v>7</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1343624</v>
      </c>
      <c r="D20" s="182">
        <f t="shared" si="0"/>
        <v>9.6999999999999993</v>
      </c>
    </row>
    <row r="21" spans="1:4" x14ac:dyDescent="0.2">
      <c r="A21">
        <v>2700</v>
      </c>
      <c r="B21" t="s">
        <v>710</v>
      </c>
      <c r="C21" s="179">
        <f>ROUND('DOE25'!L208+'DOE25'!L226+'DOE25'!L244+'DOE25'!L287+'DOE25'!L306+'DOE25'!L325,0)</f>
        <v>832567</v>
      </c>
      <c r="D21" s="182">
        <f t="shared" si="0"/>
        <v>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128310</v>
      </c>
      <c r="D25" s="182">
        <f t="shared" si="0"/>
        <v>0.9</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136790.93</v>
      </c>
      <c r="D27" s="182">
        <f t="shared" si="0"/>
        <v>1</v>
      </c>
    </row>
    <row r="28" spans="1:4" x14ac:dyDescent="0.2">
      <c r="B28" s="187" t="s">
        <v>719</v>
      </c>
      <c r="C28" s="180">
        <f>SUM(C10:C27)</f>
        <v>13887297.93</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13887297.93</v>
      </c>
    </row>
    <row r="31" spans="1:4" x14ac:dyDescent="0.2">
      <c r="B31" s="33"/>
      <c r="C31" s="180"/>
    </row>
    <row r="32" spans="1:4" x14ac:dyDescent="0.2">
      <c r="A32">
        <v>5100</v>
      </c>
      <c r="B32" s="33" t="s">
        <v>726</v>
      </c>
      <c r="C32" s="180">
        <f>ROUND('DOE25'!L260+'DOE25'!L341,0)</f>
        <v>910000</v>
      </c>
    </row>
    <row r="34" spans="1:4" x14ac:dyDescent="0.2">
      <c r="A34" s="187" t="s">
        <v>94</v>
      </c>
      <c r="B34" s="188" t="s">
        <v>1604</v>
      </c>
      <c r="C34" s="181" t="s">
        <v>720</v>
      </c>
      <c r="D34" s="181" t="s">
        <v>721</v>
      </c>
    </row>
    <row r="35" spans="1:4" x14ac:dyDescent="0.2">
      <c r="A35">
        <v>1100</v>
      </c>
      <c r="B35" s="185" t="s">
        <v>727</v>
      </c>
      <c r="C35" s="179">
        <f>ROUND('DOE25'!F60+'DOE25'!G60+'DOE25'!H60+'DOE25'!I60+'DOE25'!J60,0)</f>
        <v>7754792</v>
      </c>
      <c r="D35" s="182">
        <f t="shared" ref="D35:D40" si="1">ROUND((C35/$C$41)*100,1)</f>
        <v>53</v>
      </c>
    </row>
    <row r="36" spans="1:4" x14ac:dyDescent="0.2">
      <c r="B36" s="185" t="s">
        <v>739</v>
      </c>
      <c r="C36" s="179">
        <f>SUM('DOE25'!F112:J112)-SUM('DOE25'!G97:G110)+('DOE25'!F174+'DOE25'!F175+'DOE25'!I174+'DOE25'!I175)-C35</f>
        <v>226876.18000000063</v>
      </c>
      <c r="D36" s="182">
        <f t="shared" si="1"/>
        <v>1.6</v>
      </c>
    </row>
    <row r="37" spans="1:4" x14ac:dyDescent="0.2">
      <c r="A37" s="183" t="s">
        <v>835</v>
      </c>
      <c r="B37" s="185" t="s">
        <v>728</v>
      </c>
      <c r="C37" s="179">
        <f>ROUND('DOE25'!F117+'DOE25'!F118,0)</f>
        <v>5966165</v>
      </c>
      <c r="D37" s="182">
        <f t="shared" si="1"/>
        <v>40.799999999999997</v>
      </c>
    </row>
    <row r="38" spans="1:4" x14ac:dyDescent="0.2">
      <c r="A38" s="183" t="s">
        <v>734</v>
      </c>
      <c r="B38" s="185" t="s">
        <v>729</v>
      </c>
      <c r="C38" s="179">
        <f>ROUND(SUM('DOE25'!F140:J140)-SUM('DOE25'!F117:F119),0)</f>
        <v>430941</v>
      </c>
      <c r="D38" s="182">
        <f t="shared" si="1"/>
        <v>2.9</v>
      </c>
    </row>
    <row r="39" spans="1:4" x14ac:dyDescent="0.2">
      <c r="A39">
        <v>4000</v>
      </c>
      <c r="B39" s="185" t="s">
        <v>730</v>
      </c>
      <c r="C39" s="179">
        <f>ROUND('DOE25'!F169+'DOE25'!G169+'DOE25'!H169+'DOE25'!I169,0)</f>
        <v>251135</v>
      </c>
      <c r="D39" s="182">
        <f t="shared" si="1"/>
        <v>1.7</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14629909.18</v>
      </c>
      <c r="D41" s="184">
        <f>SUM(D35:D40)</f>
        <v>100.00000000000001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WEARE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2019-08-21T14:20:14Z</cp:lastPrinted>
  <dcterms:created xsi:type="dcterms:W3CDTF">1997-12-04T19:04:30Z</dcterms:created>
  <dcterms:modified xsi:type="dcterms:W3CDTF">2020-10-05T19:53:46Z</dcterms:modified>
</cp:coreProperties>
</file>