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L224" i="1"/>
  <c r="L242" i="1"/>
  <c r="G16" i="13"/>
  <c r="H16" i="13"/>
  <c r="L209" i="1"/>
  <c r="L227" i="1"/>
  <c r="L245" i="1"/>
  <c r="C125" i="2" s="1"/>
  <c r="G5" i="13"/>
  <c r="H5" i="13"/>
  <c r="L197" i="1"/>
  <c r="L198" i="1"/>
  <c r="L199" i="1"/>
  <c r="L200" i="1"/>
  <c r="L215" i="1"/>
  <c r="L216" i="1"/>
  <c r="L217" i="1"/>
  <c r="L218" i="1"/>
  <c r="L233" i="1"/>
  <c r="L234" i="1"/>
  <c r="L235" i="1"/>
  <c r="C12" i="10" s="1"/>
  <c r="L236" i="1"/>
  <c r="G6" i="13"/>
  <c r="H6" i="13"/>
  <c r="L202" i="1"/>
  <c r="L220" i="1"/>
  <c r="L238" i="1"/>
  <c r="G7" i="13"/>
  <c r="H7" i="13"/>
  <c r="L203" i="1"/>
  <c r="L221" i="1"/>
  <c r="L239" i="1"/>
  <c r="G12" i="13"/>
  <c r="H12" i="13"/>
  <c r="L205" i="1"/>
  <c r="L223" i="1"/>
  <c r="L241" i="1"/>
  <c r="G14" i="13"/>
  <c r="H14" i="13"/>
  <c r="L207" i="1"/>
  <c r="L225" i="1"/>
  <c r="L243" i="1"/>
  <c r="G15" i="13"/>
  <c r="H15" i="13"/>
  <c r="L208" i="1"/>
  <c r="H647" i="1" s="1"/>
  <c r="L226" i="1"/>
  <c r="L244" i="1"/>
  <c r="G17" i="13"/>
  <c r="H17" i="13"/>
  <c r="L251" i="1"/>
  <c r="G18" i="13"/>
  <c r="H18" i="13"/>
  <c r="L252" i="1"/>
  <c r="C114" i="2" s="1"/>
  <c r="G19" i="13"/>
  <c r="H19" i="13"/>
  <c r="L253" i="1"/>
  <c r="G29" i="13"/>
  <c r="H29" i="13"/>
  <c r="L358" i="1"/>
  <c r="L359" i="1"/>
  <c r="L360" i="1"/>
  <c r="I367" i="1"/>
  <c r="J290" i="1"/>
  <c r="J309" i="1"/>
  <c r="J328" i="1"/>
  <c r="K290" i="1"/>
  <c r="K309" i="1"/>
  <c r="K328" i="1"/>
  <c r="L276" i="1"/>
  <c r="L277" i="1"/>
  <c r="L278" i="1"/>
  <c r="L279" i="1"/>
  <c r="L281" i="1"/>
  <c r="L282" i="1"/>
  <c r="L283" i="1"/>
  <c r="L284" i="1"/>
  <c r="E121" i="2" s="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C130" i="2" s="1"/>
  <c r="L336" i="1"/>
  <c r="E130" i="2" s="1"/>
  <c r="C11" i="13"/>
  <c r="C10" i="13"/>
  <c r="C9" i="13"/>
  <c r="L361" i="1"/>
  <c r="B4" i="12"/>
  <c r="B36" i="12"/>
  <c r="C36" i="12"/>
  <c r="B40" i="12"/>
  <c r="A40" i="12" s="1"/>
  <c r="C40" i="12"/>
  <c r="B27" i="12"/>
  <c r="C27" i="12"/>
  <c r="B31" i="12"/>
  <c r="C31" i="12"/>
  <c r="B9" i="12"/>
  <c r="B13" i="12"/>
  <c r="C9" i="12"/>
  <c r="C13" i="12"/>
  <c r="B18" i="12"/>
  <c r="B22" i="12"/>
  <c r="C18" i="12"/>
  <c r="C22" i="12"/>
  <c r="B1" i="12"/>
  <c r="L387" i="1"/>
  <c r="L388" i="1"/>
  <c r="L389" i="1"/>
  <c r="L390" i="1"/>
  <c r="L391" i="1"/>
  <c r="L392" i="1"/>
  <c r="L395" i="1"/>
  <c r="L396" i="1"/>
  <c r="L397" i="1"/>
  <c r="L401" i="1" s="1"/>
  <c r="C139" i="2" s="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H94" i="1"/>
  <c r="H111" i="1"/>
  <c r="I111" i="1"/>
  <c r="I112" i="1" s="1"/>
  <c r="J111" i="1"/>
  <c r="J112" i="1" s="1"/>
  <c r="F121" i="1"/>
  <c r="F136" i="1"/>
  <c r="G121" i="1"/>
  <c r="G136" i="1"/>
  <c r="H121" i="1"/>
  <c r="H136" i="1"/>
  <c r="I121" i="1"/>
  <c r="I136" i="1"/>
  <c r="J121" i="1"/>
  <c r="J136" i="1"/>
  <c r="F147" i="1"/>
  <c r="C85" i="2" s="1"/>
  <c r="F162" i="1"/>
  <c r="F169" i="1" s="1"/>
  <c r="G147" i="1"/>
  <c r="G162" i="1"/>
  <c r="H147" i="1"/>
  <c r="H162" i="1"/>
  <c r="H169" i="1" s="1"/>
  <c r="I147" i="1"/>
  <c r="I162" i="1"/>
  <c r="L250" i="1"/>
  <c r="C113" i="2" s="1"/>
  <c r="L332" i="1"/>
  <c r="L254" i="1"/>
  <c r="L268" i="1"/>
  <c r="L269" i="1"/>
  <c r="L349" i="1"/>
  <c r="L350" i="1"/>
  <c r="E143" i="2" s="1"/>
  <c r="I665" i="1"/>
  <c r="I670" i="1"/>
  <c r="G662" i="1"/>
  <c r="H662" i="1"/>
  <c r="I669" i="1"/>
  <c r="C42" i="10"/>
  <c r="C32" i="10"/>
  <c r="L374" i="1"/>
  <c r="L375" i="1"/>
  <c r="L376" i="1"/>
  <c r="L377" i="1"/>
  <c r="L378" i="1"/>
  <c r="L379" i="1"/>
  <c r="L380" i="1"/>
  <c r="B2" i="10"/>
  <c r="L344" i="1"/>
  <c r="E134" i="2" s="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3" i="2"/>
  <c r="D115" i="2"/>
  <c r="F115" i="2"/>
  <c r="G115" i="2"/>
  <c r="E120" i="2"/>
  <c r="E123" i="2"/>
  <c r="E124" i="2"/>
  <c r="E125" i="2"/>
  <c r="F128" i="2"/>
  <c r="G128" i="2"/>
  <c r="D134" i="2"/>
  <c r="D144" i="2" s="1"/>
  <c r="F134" i="2"/>
  <c r="K419" i="1"/>
  <c r="K427" i="1"/>
  <c r="K433" i="1"/>
  <c r="L263" i="1"/>
  <c r="C135" i="2" s="1"/>
  <c r="E135" i="2"/>
  <c r="L264" i="1"/>
  <c r="C136" i="2" s="1"/>
  <c r="L265" i="1"/>
  <c r="C137" i="2" s="1"/>
  <c r="E137"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G620" i="1" s="1"/>
  <c r="F32" i="1"/>
  <c r="F52" i="1" s="1"/>
  <c r="H617" i="1" s="1"/>
  <c r="G32" i="1"/>
  <c r="G52" i="1" s="1"/>
  <c r="H618" i="1" s="1"/>
  <c r="H32" i="1"/>
  <c r="I32" i="1"/>
  <c r="H51" i="1"/>
  <c r="G624" i="1" s="1"/>
  <c r="I51" i="1"/>
  <c r="F177" i="1"/>
  <c r="F192" i="1" s="1"/>
  <c r="I177" i="1"/>
  <c r="F183" i="1"/>
  <c r="G183" i="1"/>
  <c r="H183" i="1"/>
  <c r="H192" i="1" s="1"/>
  <c r="I183" i="1"/>
  <c r="J183" i="1"/>
  <c r="J192" i="1" s="1"/>
  <c r="F188" i="1"/>
  <c r="G188" i="1"/>
  <c r="H188" i="1"/>
  <c r="I188" i="1"/>
  <c r="F211" i="1"/>
  <c r="G211" i="1"/>
  <c r="H211" i="1"/>
  <c r="I211" i="1"/>
  <c r="J211" i="1"/>
  <c r="K211" i="1"/>
  <c r="F229" i="1"/>
  <c r="G229" i="1"/>
  <c r="H229" i="1"/>
  <c r="I229" i="1"/>
  <c r="I247" i="1" s="1"/>
  <c r="J229" i="1"/>
  <c r="K229" i="1"/>
  <c r="F247" i="1"/>
  <c r="G247" i="1"/>
  <c r="H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I369" i="1" s="1"/>
  <c r="H634" i="1" s="1"/>
  <c r="F369" i="1"/>
  <c r="G369" i="1"/>
  <c r="H369" i="1"/>
  <c r="L381" i="1"/>
  <c r="F382" i="1"/>
  <c r="G382" i="1"/>
  <c r="H382" i="1"/>
  <c r="I382" i="1"/>
  <c r="J382" i="1"/>
  <c r="K382" i="1"/>
  <c r="F393" i="1"/>
  <c r="G393" i="1"/>
  <c r="H393" i="1"/>
  <c r="I393" i="1"/>
  <c r="I408" i="1" s="1"/>
  <c r="F401" i="1"/>
  <c r="G401" i="1"/>
  <c r="H401" i="1"/>
  <c r="I401" i="1"/>
  <c r="F407" i="1"/>
  <c r="G407" i="1"/>
  <c r="H407" i="1"/>
  <c r="I407" i="1"/>
  <c r="F408" i="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J641" i="1" s="1"/>
  <c r="F452" i="1"/>
  <c r="G452" i="1"/>
  <c r="G461" i="1" s="1"/>
  <c r="H640" i="1" s="1"/>
  <c r="H452" i="1"/>
  <c r="F460" i="1"/>
  <c r="G460" i="1"/>
  <c r="H460" i="1"/>
  <c r="H461" i="1" s="1"/>
  <c r="H641" i="1" s="1"/>
  <c r="F470" i="1"/>
  <c r="G470" i="1"/>
  <c r="H470" i="1"/>
  <c r="I470" i="1"/>
  <c r="J470" i="1"/>
  <c r="F474" i="1"/>
  <c r="G474" i="1"/>
  <c r="H474" i="1"/>
  <c r="H476" i="1" s="1"/>
  <c r="H624" i="1" s="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22" i="1"/>
  <c r="G623" i="1"/>
  <c r="G625" i="1"/>
  <c r="H627" i="1"/>
  <c r="H628" i="1"/>
  <c r="H629" i="1"/>
  <c r="H630" i="1"/>
  <c r="H631" i="1"/>
  <c r="H632" i="1"/>
  <c r="H633" i="1"/>
  <c r="H635" i="1"/>
  <c r="H636" i="1"/>
  <c r="H637" i="1"/>
  <c r="H638" i="1"/>
  <c r="G643" i="1"/>
  <c r="H643" i="1"/>
  <c r="J643" i="1" s="1"/>
  <c r="G644" i="1"/>
  <c r="G650" i="1"/>
  <c r="G651" i="1"/>
  <c r="G652" i="1"/>
  <c r="H652" i="1"/>
  <c r="G653" i="1"/>
  <c r="H653" i="1"/>
  <c r="G654" i="1"/>
  <c r="H654" i="1"/>
  <c r="H655" i="1"/>
  <c r="J655" i="1" s="1"/>
  <c r="L256" i="1"/>
  <c r="D50" i="2"/>
  <c r="G62" i="2"/>
  <c r="E78" i="2"/>
  <c r="D81" i="2"/>
  <c r="I169" i="1"/>
  <c r="J140" i="1"/>
  <c r="F571" i="1"/>
  <c r="G22" i="2"/>
  <c r="H140" i="1"/>
  <c r="H552" i="1" l="1"/>
  <c r="G552" i="1"/>
  <c r="J651" i="1"/>
  <c r="G645" i="1"/>
  <c r="F18" i="2"/>
  <c r="E119" i="2"/>
  <c r="E112" i="2"/>
  <c r="F338" i="1"/>
  <c r="F352" i="1" s="1"/>
  <c r="C13" i="10"/>
  <c r="C11" i="10"/>
  <c r="K338" i="1"/>
  <c r="K352" i="1" s="1"/>
  <c r="H112" i="1"/>
  <c r="H193" i="1" s="1"/>
  <c r="G629" i="1" s="1"/>
  <c r="J629" i="1" s="1"/>
  <c r="C119" i="2"/>
  <c r="C121" i="2"/>
  <c r="C110" i="2"/>
  <c r="L328" i="1"/>
  <c r="G545" i="1"/>
  <c r="I545" i="1"/>
  <c r="I476" i="1"/>
  <c r="H625" i="1" s="1"/>
  <c r="J625" i="1" s="1"/>
  <c r="J476" i="1"/>
  <c r="H626" i="1" s="1"/>
  <c r="F476" i="1"/>
  <c r="H622" i="1" s="1"/>
  <c r="H408" i="1"/>
  <c r="H644" i="1" s="1"/>
  <c r="J644" i="1" s="1"/>
  <c r="G338" i="1"/>
  <c r="G352" i="1" s="1"/>
  <c r="L270" i="1"/>
  <c r="J552" i="1"/>
  <c r="F552" i="1"/>
  <c r="C91" i="2"/>
  <c r="L560" i="1"/>
  <c r="J545" i="1"/>
  <c r="J624" i="1"/>
  <c r="L433" i="1"/>
  <c r="L427" i="1"/>
  <c r="L434" i="1" s="1"/>
  <c r="G638" i="1" s="1"/>
  <c r="J638" i="1" s="1"/>
  <c r="K605" i="1"/>
  <c r="G648" i="1" s="1"/>
  <c r="F461" i="1"/>
  <c r="H639" i="1" s="1"/>
  <c r="J639" i="1" s="1"/>
  <c r="J257" i="1"/>
  <c r="L309" i="1"/>
  <c r="L290" i="1"/>
  <c r="G408" i="1"/>
  <c r="H645" i="1" s="1"/>
  <c r="J645" i="1" s="1"/>
  <c r="I552" i="1"/>
  <c r="K549" i="1"/>
  <c r="L351" i="1"/>
  <c r="F130" i="2"/>
  <c r="F144" i="2" s="1"/>
  <c r="F145" i="2" s="1"/>
  <c r="L393" i="1"/>
  <c r="C138" i="2" s="1"/>
  <c r="E118" i="2"/>
  <c r="E128" i="2" s="1"/>
  <c r="L614" i="1"/>
  <c r="K598" i="1"/>
  <c r="G647" i="1" s="1"/>
  <c r="J647" i="1" s="1"/>
  <c r="K571" i="1"/>
  <c r="L570" i="1"/>
  <c r="H571" i="1"/>
  <c r="L565" i="1"/>
  <c r="L571" i="1" s="1"/>
  <c r="I571" i="1"/>
  <c r="K545" i="1"/>
  <c r="I52" i="1"/>
  <c r="H620" i="1" s="1"/>
  <c r="E122" i="2"/>
  <c r="J640" i="1"/>
  <c r="L529" i="1"/>
  <c r="H545" i="1"/>
  <c r="H52" i="1"/>
  <c r="H619" i="1" s="1"/>
  <c r="J619" i="1" s="1"/>
  <c r="C26" i="10"/>
  <c r="E103" i="2"/>
  <c r="F78" i="2"/>
  <c r="F81" i="2" s="1"/>
  <c r="E62" i="2"/>
  <c r="E63" i="2" s="1"/>
  <c r="D31" i="2"/>
  <c r="A31" i="12"/>
  <c r="D18" i="13"/>
  <c r="C18" i="13" s="1"/>
  <c r="D15" i="13"/>
  <c r="C15" i="13" s="1"/>
  <c r="D6" i="13"/>
  <c r="C6" i="13" s="1"/>
  <c r="K257" i="1"/>
  <c r="K271" i="1" s="1"/>
  <c r="D91" i="2"/>
  <c r="E31" i="2"/>
  <c r="G164" i="2"/>
  <c r="G161" i="2"/>
  <c r="G157" i="2"/>
  <c r="G156" i="2"/>
  <c r="C20" i="10"/>
  <c r="I257" i="1"/>
  <c r="I271" i="1" s="1"/>
  <c r="H257" i="1"/>
  <c r="H271" i="1" s="1"/>
  <c r="C18" i="10"/>
  <c r="E13" i="13"/>
  <c r="C13" i="13" s="1"/>
  <c r="L247" i="1"/>
  <c r="C112" i="2"/>
  <c r="L211" i="1"/>
  <c r="F257" i="1"/>
  <c r="F271" i="1" s="1"/>
  <c r="C78" i="2"/>
  <c r="C70" i="2"/>
  <c r="F112" i="1"/>
  <c r="G476" i="1"/>
  <c r="H623" i="1" s="1"/>
  <c r="J623" i="1" s="1"/>
  <c r="J634" i="1"/>
  <c r="F661" i="1"/>
  <c r="L362" i="1"/>
  <c r="C27" i="10" s="1"/>
  <c r="G661" i="1"/>
  <c r="G192" i="1"/>
  <c r="D62" i="2"/>
  <c r="D63" i="2" s="1"/>
  <c r="D18" i="2"/>
  <c r="J622" i="1"/>
  <c r="C18" i="2"/>
  <c r="J617" i="1"/>
  <c r="K551" i="1"/>
  <c r="I25" i="13"/>
  <c r="K550" i="1"/>
  <c r="J271" i="1"/>
  <c r="L534" i="1"/>
  <c r="K500" i="1"/>
  <c r="I460" i="1"/>
  <c r="I452" i="1"/>
  <c r="I446" i="1"/>
  <c r="G642" i="1" s="1"/>
  <c r="H338" i="1"/>
  <c r="H352" i="1" s="1"/>
  <c r="C123" i="2"/>
  <c r="E109" i="2"/>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L337" i="1"/>
  <c r="F62" i="2"/>
  <c r="F63"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I192" i="1"/>
  <c r="E91" i="2"/>
  <c r="D51" i="2"/>
  <c r="J654" i="1"/>
  <c r="J653" i="1"/>
  <c r="G21" i="2"/>
  <c r="G31" i="2" s="1"/>
  <c r="J32" i="1"/>
  <c r="J434" i="1"/>
  <c r="F434" i="1"/>
  <c r="K434" i="1"/>
  <c r="G134" i="2" s="1"/>
  <c r="G144" i="2" s="1"/>
  <c r="G145" i="2" s="1"/>
  <c r="G31" i="13"/>
  <c r="G33" i="13" s="1"/>
  <c r="J193" i="1"/>
  <c r="G646" i="1" s="1"/>
  <c r="G169" i="1"/>
  <c r="C39" i="10" s="1"/>
  <c r="G140" i="1"/>
  <c r="F140" i="1"/>
  <c r="G63" i="2"/>
  <c r="J618" i="1"/>
  <c r="G42" i="2"/>
  <c r="J51" i="1"/>
  <c r="G16" i="2"/>
  <c r="G18" i="2" s="1"/>
  <c r="J19" i="1"/>
  <c r="G621" i="1" s="1"/>
  <c r="F545" i="1"/>
  <c r="H434" i="1"/>
  <c r="J620" i="1"/>
  <c r="D103" i="2"/>
  <c r="I140" i="1"/>
  <c r="A22" i="12"/>
  <c r="G50" i="2"/>
  <c r="G51" i="2" s="1"/>
  <c r="J652" i="1"/>
  <c r="G571" i="1"/>
  <c r="I434" i="1"/>
  <c r="G434" i="1"/>
  <c r="I663" i="1"/>
  <c r="G635" i="1"/>
  <c r="J635" i="1" s="1"/>
  <c r="L408" i="1" l="1"/>
  <c r="C141" i="2"/>
  <c r="F51" i="2"/>
  <c r="E115" i="2"/>
  <c r="G36" i="14"/>
  <c r="H36" i="14" s="1"/>
  <c r="I36" i="14" s="1"/>
  <c r="G24" i="14"/>
  <c r="H24" i="14" s="1"/>
  <c r="I24" i="14" s="1"/>
  <c r="L338" i="1"/>
  <c r="L352" i="1" s="1"/>
  <c r="G633" i="1" s="1"/>
  <c r="J633" i="1" s="1"/>
  <c r="G4" i="14"/>
  <c r="H4" i="14" s="1"/>
  <c r="I4" i="14" s="1"/>
  <c r="F104" i="2"/>
  <c r="E104" i="2"/>
  <c r="L545" i="1"/>
  <c r="H648" i="1"/>
  <c r="J648" i="1" s="1"/>
  <c r="I193" i="1"/>
  <c r="G630" i="1" s="1"/>
  <c r="J630" i="1" s="1"/>
  <c r="D104" i="2"/>
  <c r="C144" i="2"/>
  <c r="E51" i="2"/>
  <c r="C36" i="10"/>
  <c r="C81" i="2"/>
  <c r="G104" i="2"/>
  <c r="E145" i="2"/>
  <c r="H660" i="1"/>
  <c r="H664" i="1" s="1"/>
  <c r="C115" i="2"/>
  <c r="C128" i="2"/>
  <c r="E33" i="13"/>
  <c r="D35" i="13" s="1"/>
  <c r="L257" i="1"/>
  <c r="L271" i="1" s="1"/>
  <c r="G632" i="1" s="1"/>
  <c r="J632" i="1" s="1"/>
  <c r="F660" i="1"/>
  <c r="F193" i="1"/>
  <c r="G627" i="1" s="1"/>
  <c r="J627" i="1" s="1"/>
  <c r="C63" i="2"/>
  <c r="C104" i="2" s="1"/>
  <c r="I661" i="1"/>
  <c r="D31" i="13"/>
  <c r="C31" i="13" s="1"/>
  <c r="I461" i="1"/>
  <c r="H642" i="1" s="1"/>
  <c r="J642" i="1" s="1"/>
  <c r="G660" i="1"/>
  <c r="G664" i="1" s="1"/>
  <c r="G667" i="1" s="1"/>
  <c r="C25" i="13"/>
  <c r="I33" i="13"/>
  <c r="K552" i="1"/>
  <c r="C28" i="10"/>
  <c r="D23" i="10" s="1"/>
  <c r="C51" i="2"/>
  <c r="G631" i="1"/>
  <c r="J631" i="1" s="1"/>
  <c r="G193" i="1"/>
  <c r="G628" i="1" s="1"/>
  <c r="J628" i="1" s="1"/>
  <c r="G626" i="1"/>
  <c r="J626" i="1" s="1"/>
  <c r="J52" i="1"/>
  <c r="H621" i="1" s="1"/>
  <c r="J621" i="1" s="1"/>
  <c r="C38" i="10"/>
  <c r="G637" i="1" l="1"/>
  <c r="J637" i="1" s="1"/>
  <c r="H646" i="1"/>
  <c r="J646" i="1" s="1"/>
  <c r="I660" i="1"/>
  <c r="I664" i="1" s="1"/>
  <c r="I672" i="1" s="1"/>
  <c r="C7" i="10" s="1"/>
  <c r="C145" i="2"/>
  <c r="F664" i="1"/>
  <c r="F667" i="1" s="1"/>
  <c r="D25" i="10"/>
  <c r="G672" i="1"/>
  <c r="C5" i="10" s="1"/>
  <c r="H667" i="1"/>
  <c r="H672" i="1"/>
  <c r="C6" i="10" s="1"/>
  <c r="D22" i="10"/>
  <c r="D18" i="10"/>
  <c r="D27" i="10"/>
  <c r="D15" i="10"/>
  <c r="D21" i="10"/>
  <c r="D24" i="10"/>
  <c r="D20" i="10"/>
  <c r="D11" i="10"/>
  <c r="D12" i="10"/>
  <c r="D13" i="10"/>
  <c r="D17" i="10"/>
  <c r="D19" i="10"/>
  <c r="D10" i="10"/>
  <c r="D26" i="10"/>
  <c r="C30" i="10"/>
  <c r="D16" i="10"/>
  <c r="D33" i="13"/>
  <c r="D36" i="13" s="1"/>
  <c r="C41" i="10"/>
  <c r="D38" i="10" s="1"/>
  <c r="I667" i="1" l="1"/>
  <c r="H656" i="1"/>
  <c r="F672" i="1"/>
  <c r="C4" i="10" s="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<sst xmlns="http://schemas.openxmlformats.org/spreadsheetml/2006/main" count="5512" uniqueCount="1615">
  <si>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</si>
  <si>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</si>
  <si>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</si>
  <si>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</si>
  <si>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</si>
  <si>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</si>
  <si>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</si>
  <si>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</si>
  <si>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</si>
  <si>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</si>
  <si>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</si>
  <si>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</si>
  <si>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</si>
  <si>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</si>
  <si>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</si>
  <si>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</si>
  <si>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</si>
  <si>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</si>
  <si>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</si>
  <si>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</si>
  <si>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</si>
  <si>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</si>
  <si>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</si>
  <si>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</si>
  <si>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</si>
  <si>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</si>
  <si>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</si>
  <si>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</si>
  <si>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</si>
  <si>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</si>
  <si>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</si>
  <si>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</si>
  <si>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</si>
  <si>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</si>
  <si>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</si>
  <si>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</si>
  <si>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</si>
  <si>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</si>
  <si>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</si>
  <si>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</si>
  <si>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</si>
  <si>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</si>
  <si>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</si>
  <si>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</si>
  <si>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</si>
  <si>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</si>
  <si>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</si>
  <si>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</si>
  <si>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</si>
  <si>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</si>
  <si>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</si>
  <si>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</si>
  <si>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</si>
  <si>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</si>
  <si>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</si>
  <si>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</si>
  <si>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</si>
  <si>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</si>
  <si>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</si>
  <si>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</si>
  <si>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</si>
  <si>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</si>
  <si>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</si>
  <si>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</si>
  <si>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</si>
  <si>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</si>
  <si>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</si>
  <si>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</si>
  <si>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</si>
  <si>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</si>
  <si>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</si>
  <si>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</si>
  <si>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</si>
  <si>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</si>
  <si>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</si>
  <si>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</si>
  <si>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</si>
  <si>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</si>
  <si>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</si>
  <si>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</si>
  <si>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</si>
  <si>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</si>
  <si>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</si>
  <si>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</si>
  <si>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</si>
  <si>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</si>
  <si>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</si>
  <si>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</si>
  <si>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</si>
  <si>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</si>
  <si>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</si>
  <si>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</si>
  <si>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</si>
  <si>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</si>
  <si>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</si>
  <si>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</si>
  <si>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</si>
  <si>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</si>
  <si>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</si>
  <si>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</si>
  <si>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</si>
  <si>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</si>
  <si>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</si>
  <si>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</si>
  <si>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</si>
  <si>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</si>
  <si>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</si>
  <si>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</si>
  <si>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</si>
  <si>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</si>
  <si>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</si>
  <si>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</si>
  <si>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</si>
  <si>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</si>
  <si>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</si>
  <si>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</si>
  <si>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</si>
  <si>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</si>
  <si>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</si>
  <si>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</si>
  <si>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</si>
  <si>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</si>
  <si>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</si>
  <si>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</si>
  <si>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</si>
  <si>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</si>
  <si>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</si>
  <si>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</si>
  <si>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</si>
  <si>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</si>
  <si>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</si>
  <si>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</si>
  <si>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</si>
  <si>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</si>
  <si>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</si>
  <si>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</si>
  <si>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</si>
  <si>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</si>
  <si>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</si>
  <si>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</si>
  <si>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</si>
  <si>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</si>
  <si>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</si>
  <si>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</si>
  <si>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</si>
  <si>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</si>
  <si>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</si>
  <si>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</si>
  <si>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</si>
  <si>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</si>
  <si>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</si>
  <si>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</si>
  <si>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</si>
  <si>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</si>
  <si>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</si>
  <si>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</si>
  <si>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</si>
  <si>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</si>
  <si>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</si>
  <si>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</si>
  <si>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</si>
  <si>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</si>
  <si>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</si>
  <si>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</si>
  <si>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</si>
  <si>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</si>
  <si>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</si>
  <si>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</si>
  <si>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</si>
  <si>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</si>
  <si>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</si>
  <si>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</si>
  <si>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</si>
  <si>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</si>
  <si>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</si>
  <si>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</si>
  <si>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</si>
  <si>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</si>
  <si>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</si>
  <si>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</si>
  <si>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</si>
  <si>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</si>
  <si>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</si>
  <si>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</si>
  <si>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</si>
  <si>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</si>
  <si>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</si>
  <si>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</si>
  <si>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</si>
  <si>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</si>
  <si>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</si>
  <si>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</si>
  <si>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</si>
  <si>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</si>
  <si>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</si>
  <si>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</si>
  <si>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</si>
  <si>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</si>
  <si>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</si>
  <si>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</si>
  <si>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</si>
  <si>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</si>
  <si>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</si>
  <si>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</si>
  <si>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</si>
  <si>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</si>
  <si>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</si>
  <si>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</si>
  <si>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</si>
  <si>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</si>
  <si>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</si>
  <si>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</si>
  <si>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</si>
  <si>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</si>
  <si>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</si>
  <si>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</si>
  <si>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</si>
  <si>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</si>
  <si>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</si>
  <si>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</si>
  <si>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</si>
  <si>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</si>
  <si>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</si>
  <si>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</si>
  <si>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</si>
  <si>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</si>
  <si>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</si>
  <si>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</si>
  <si>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</si>
  <si>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</si>
  <si>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</si>
  <si>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</si>
  <si>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</si>
  <si>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</si>
  <si>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</si>
  <si>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</si>
  <si>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</si>
  <si>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</si>
  <si>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</si>
  <si>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</si>
  <si>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</si>
  <si>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</si>
  <si>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</si>
  <si>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</si>
  <si>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</si>
  <si>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</si>
  <si>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</si>
  <si>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</si>
  <si>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</si>
  <si>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</si>
  <si>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</si>
  <si>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</si>
  <si>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</si>
  <si>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</si>
  <si>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</si>
  <si>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</si>
  <si>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</si>
  <si>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</si>
  <si>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</si>
  <si>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</si>
  <si>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</si>
  <si>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</si>
  <si>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</si>
  <si>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</si>
  <si>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</si>
  <si>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</si>
  <si>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</si>
  <si>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</si>
  <si>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</si>
  <si>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</si>
  <si>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</si>
  <si>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</si>
  <si>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</si>
  <si>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</si>
  <si>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</si>
  <si>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</si>
  <si>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</si>
  <si>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</si>
  <si>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</si>
  <si>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</si>
  <si>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</si>
  <si>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</si>
  <si>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</si>
  <si>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</si>
  <si>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</si>
  <si>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</si>
  <si>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</si>
  <si>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</si>
  <si>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</si>
  <si>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</si>
  <si>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</si>
  <si>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</si>
  <si>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</si>
  <si>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</si>
  <si>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</si>
  <si>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</si>
  <si>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</si>
  <si>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</si>
  <si>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</si>
  <si>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</si>
  <si>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</si>
  <si>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</si>
  <si>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</si>
  <si>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</si>
  <si>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</si>
  <si>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</si>
  <si>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</si>
  <si>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</si>
  <si>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</si>
  <si>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</si>
  <si>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</si>
  <si>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</si>
  <si>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</si>
  <si>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</si>
  <si>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</si>
  <si>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</si>
  <si>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</si>
  <si>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</si>
  <si>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</si>
  <si>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</si>
  <si>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</si>
  <si>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</si>
  <si>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</si>
  <si>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</si>
  <si>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</si>
  <si>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</si>
  <si>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</si>
  <si>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</si>
  <si>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</si>
  <si>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</si>
  <si>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</si>
  <si>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</si>
  <si>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</si>
  <si>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</si>
  <si>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</si>
  <si>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</si>
  <si>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</si>
  <si>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</si>
  <si>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</si>
  <si>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</si>
  <si>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</si>
  <si>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</si>
  <si>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</si>
  <si>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</si>
  <si>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</si>
  <si>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</si>
  <si>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</si>
  <si>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</si>
  <si>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</si>
  <si>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</si>
  <si>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</si>
  <si>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</si>
  <si>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</si>
  <si>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</si>
  <si>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</si>
  <si>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</si>
  <si>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</si>
  <si>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</si>
  <si>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</si>
  <si>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</si>
  <si>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</si>
  <si>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</si>
  <si>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</si>
  <si>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</si>
  <si>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</si>
  <si>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</si>
  <si>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</si>
  <si>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</si>
  <si>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</si>
  <si>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</si>
  <si>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</si>
  <si>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</si>
  <si>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</si>
  <si>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</si>
  <si>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</si>
  <si>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</si>
  <si>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</si>
  <si>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</si>
  <si>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</si>
  <si>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</si>
  <si>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</si>
  <si>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</si>
  <si>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</si>
  <si>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</si>
  <si>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</si>
  <si>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</si>
  <si>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</si>
  <si>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</si>
  <si>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</si>
  <si>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</si>
  <si>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</si>
  <si>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</si>
  <si>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</si>
  <si>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</si>
  <si>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</si>
  <si>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</si>
  <si>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</si>
  <si>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</si>
  <si>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</si>
  <si>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</si>
  <si>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</si>
  <si>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</si>
  <si>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</si>
  <si>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</si>
  <si>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</si>
  <si>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</si>
  <si>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</si>
  <si>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</si>
  <si>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</si>
  <si>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</si>
  <si>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</si>
  <si>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</si>
  <si>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</si>
  <si>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</si>
  <si>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</si>
  <si>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</si>
  <si>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</si>
  <si>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</si>
  <si>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</si>
  <si>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</si>
  <si>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</si>
  <si>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</si>
  <si>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</si>
  <si>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</si>
  <si>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</si>
  <si>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</si>
  <si>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</si>
  <si>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</si>
  <si>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</si>
  <si>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</si>
  <si>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</si>
  <si>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</si>
  <si>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</si>
  <si>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</si>
  <si>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</si>
  <si>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</si>
  <si>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</si>
  <si>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</si>
  <si>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</si>
  <si>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</si>
  <si>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</si>
  <si>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</si>
  <si>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</si>
  <si>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</si>
  <si>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</si>
  <si>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</si>
  <si>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</si>
  <si>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</si>
  <si>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</si>
  <si>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</si>
  <si>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</si>
  <si>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</si>
  <si>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</si>
  <si>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</si>
  <si>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</si>
  <si>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</si>
  <si>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</si>
  <si>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</si>
  <si>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</si>
  <si>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</si>
  <si>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</si>
  <si>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</si>
  <si>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</si>
  <si>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</si>
  <si>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</si>
  <si>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</si>
  <si>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</si>
  <si>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</si>
  <si>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</si>
  <si>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</si>
  <si>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</si>
  <si>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</si>
  <si>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</si>
  <si>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</si>
  <si>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</si>
  <si>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</si>
  <si>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</si>
  <si>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</si>
  <si>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</si>
  <si>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</si>
  <si>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</si>
  <si>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</si>
  <si>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</si>
  <si>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</si>
  <si>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</si>
  <si>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</si>
  <si>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</si>
  <si>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</si>
  <si>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</si>
  <si>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</si>
  <si>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</si>
  <si>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</si>
  <si>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</si>
  <si>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</si>
  <si>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</si>
  <si>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</si>
  <si>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</si>
  <si>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</si>
  <si>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</si>
  <si>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</si>
  <si>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</si>
  <si>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</si>
  <si>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</si>
  <si>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</si>
  <si>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</si>
  <si>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</si>
  <si>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</si>
  <si>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</si>
  <si>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</si>
  <si>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</si>
  <si>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</si>
  <si>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</si>
  <si>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</si>
  <si>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</si>
  <si>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</si>
  <si>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</si>
  <si>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</si>
  <si>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</si>
  <si>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</si>
  <si>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</si>
  <si>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</si>
  <si>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</si>
  <si>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</si>
  <si>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</si>
  <si>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</si>
  <si>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</si>
  <si>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</si>
  <si>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</si>
  <si>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</si>
  <si>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</si>
  <si>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</si>
  <si>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</si>
  <si>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</si>
  <si>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</si>
  <si>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</si>
  <si>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</si>
  <si>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</si>
  <si>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</si>
  <si>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</si>
  <si>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</si>
  <si>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</si>
  <si>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</si>
  <si>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</si>
  <si>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</si>
  <si>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</si>
  <si>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</si>
  <si>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</si>
  <si>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</si>
  <si>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</si>
  <si>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</si>
  <si>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</si>
  <si>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</si>
  <si>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</si>
  <si>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</si>
  <si>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</si>
  <si>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</si>
  <si>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</si>
  <si>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</si>
  <si>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</si>
  <si>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</si>
  <si>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</si>
  <si>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</si>
  <si>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</si>
  <si>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</si>
  <si>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</si>
  <si>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</si>
  <si>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</si>
  <si>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</si>
  <si>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</si>
  <si>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</si>
  <si>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</si>
  <si>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</si>
  <si>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</si>
  <si>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</si>
  <si>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</si>
  <si>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</si>
  <si>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</si>
  <si>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</si>
  <si>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</si>
  <si>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</si>
  <si>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</si>
  <si>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</si>
  <si>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</si>
  <si>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</si>
  <si>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</si>
  <si>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</si>
  <si>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</si>
  <si>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</si>
  <si>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</si>
  <si>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</si>
  <si>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</si>
  <si>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</si>
  <si>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</si>
  <si>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</si>
  <si>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</si>
  <si>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</si>
  <si>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</si>
  <si>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</si>
  <si>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</si>
  <si>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</si>
  <si>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</si>
  <si>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</si>
  <si>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</si>
  <si>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</si>
  <si>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</si>
  <si>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</si>
  <si>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</si>
  <si>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</si>
  <si>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</si>
  <si>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</si>
  <si>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</si>
  <si>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</si>
  <si>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</si>
  <si>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</si>
  <si>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</si>
  <si>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</si>
  <si>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</si>
  <si>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</si>
  <si>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</si>
  <si>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</si>
  <si>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</si>
  <si>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</si>
  <si>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</si>
  <si>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</si>
  <si>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</si>
  <si>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</si>
  <si>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</si>
  <si>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</si>
  <si>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</si>
  <si>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</si>
  <si>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</si>
  <si>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</si>
  <si>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</si>
  <si>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</si>
  <si>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</si>
  <si>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</si>
  <si>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</si>
  <si>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</si>
  <si>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</si>
  <si>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</si>
  <si>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</si>
  <si>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</si>
  <si>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</si>
  <si>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</si>
  <si>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</si>
  <si>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</si>
  <si>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</si>
  <si>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</si>
  <si>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</si>
  <si>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</si>
  <si>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</si>
  <si>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</si>
  <si>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</si>
  <si>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</si>
  <si>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</si>
  <si>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</si>
  <si>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</si>
  <si>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</si>
  <si>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</si>
  <si>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</si>
  <si>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</si>
  <si>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</si>
  <si>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</si>
  <si>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</si>
  <si>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</si>
  <si>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</si>
  <si>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</si>
  <si>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</si>
  <si>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</si>
  <si>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</si>
  <si>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</si>
  <si>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</si>
  <si>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</si>
  <si>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</si>
  <si>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</si>
  <si>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</si>
  <si>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</si>
  <si>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</si>
  <si>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</si>
  <si>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</si>
  <si>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</si>
  <si>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</si>
  <si>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</si>
  <si>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</si>
  <si>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</si>
  <si>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</si>
  <si>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</si>
  <si>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</si>
  <si>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</si>
  <si>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</si>
  <si>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</si>
  <si>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</si>
  <si>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</si>
  <si>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</si>
  <si>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</si>
  <si>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</si>
  <si>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</si>
  <si>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</si>
  <si>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</si>
  <si>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</si>
  <si>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</si>
  <si>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</si>
  <si>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</si>
  <si>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</si>
  <si>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</si>
  <si>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</si>
  <si>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</si>
  <si>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</si>
  <si>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</si>
  <si>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</si>
  <si>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</si>
  <si>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</si>
  <si>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</si>
  <si>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</si>
  <si>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</si>
  <si>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</si>
  <si>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</si>
  <si>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</si>
  <si>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</si>
  <si>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</si>
  <si>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</si>
  <si>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</si>
  <si>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</si>
  <si>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</si>
  <si>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</si>
  <si>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</si>
  <si>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</si>
  <si>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</si>
  <si>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</si>
  <si>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</si>
  <si>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</si>
  <si>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</si>
  <si>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</si>
  <si>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</si>
  <si>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</si>
  <si>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</si>
  <si>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</si>
  <si>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</si>
  <si>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</si>
  <si>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</si>
  <si>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</si>
  <si>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</si>
  <si>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</si>
  <si>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</si>
  <si>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</si>
  <si>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</si>
  <si>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</si>
  <si>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</si>
  <si>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</si>
  <si>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</si>
  <si>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</si>
  <si>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</si>
  <si>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</si>
  <si>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</si>
  <si>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</si>
  <si>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</si>
  <si>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</si>
  <si>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</si>
  <si>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</si>
  <si>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</si>
  <si>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</si>
  <si>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</si>
  <si>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</si>
  <si>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</si>
  <si>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</si>
  <si>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</si>
  <si>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</si>
  <si>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</si>
  <si>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</si>
  <si>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</si>
  <si>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</si>
  <si>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</si>
  <si>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</si>
  <si>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</si>
  <si>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</si>
  <si>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</si>
  <si>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</si>
  <si>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</si>
  <si>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</si>
  <si>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</si>
  <si>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</si>
  <si>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</si>
  <si>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</si>
  <si>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</si>
  <si>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</si>
  <si>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</si>
  <si>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</si>
  <si>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</si>
  <si>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</si>
  <si>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</si>
  <si>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</si>
  <si>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</si>
  <si>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</si>
  <si>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</si>
  <si>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</si>
  <si>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</si>
  <si>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</si>
  <si>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</si>
  <si>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</si>
  <si>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</si>
  <si>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</si>
  <si>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</si>
  <si>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</si>
  <si>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</si>
  <si>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</si>
  <si>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</si>
  <si>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</si>
  <si>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</si>
  <si>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</si>
  <si>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</si>
  <si>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</si>
  <si>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</si>
  <si>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</si>
  <si>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</si>
  <si>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</si>
  <si>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</si>
  <si>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</si>
  <si>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</si>
  <si>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</si>
  <si>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</si>
  <si>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</si>
  <si>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</si>
  <si>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</si>
  <si>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</si>
  <si>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</si>
  <si>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</si>
  <si>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</si>
  <si>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</si>
  <si>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</si>
  <si>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</si>
  <si>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</si>
  <si>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</si>
  <si>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</si>
  <si>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</si>
  <si>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</si>
  <si>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</si>
  <si>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</si>
  <si>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</si>
  <si>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</si>
  <si>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</si>
  <si>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</si>
  <si>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</si>
  <si>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</si>
  <si>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</si>
  <si>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</si>
  <si>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</si>
  <si>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</si>
  <si>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</si>
  <si>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</si>
  <si>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</si>
  <si>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</si>
  <si>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</si>
  <si>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</si>
  <si>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</si>
  <si>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</si>
  <si>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</si>
  <si>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</si>
  <si>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</si>
  <si>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</si>
  <si>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</si>
  <si>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</si>
  <si>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</si>
  <si>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</si>
  <si>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</si>
  <si>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</si>
  <si>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</si>
  <si>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</si>
  <si>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</si>
  <si>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</si>
  <si>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</si>
  <si>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</si>
  <si>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</si>
  <si>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</si>
  <si>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</si>
  <si>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</si>
  <si>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</si>
  <si>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</si>
  <si>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</si>
  <si>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</si>
  <si>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</si>
  <si>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</si>
  <si>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</si>
  <si>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</si>
  <si>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</si>
  <si>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</si>
  <si>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</si>
  <si>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</si>
  <si>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</si>
  <si>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</si>
  <si>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</si>
  <si>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</si>
  <si>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</si>
  <si>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</si>
  <si>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</si>
  <si>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</si>
  <si>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</si>
  <si>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</si>
  <si>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</si>
  <si>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</si>
  <si>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</si>
  <si>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</si>
  <si>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</si>
  <si>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</si>
  <si>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</si>
  <si>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</si>
  <si>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</si>
  <si>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</si>
  <si>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</si>
  <si>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</si>
  <si>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</si>
  <si>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</si>
  <si>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</si>
  <si>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</si>
  <si>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</si>
  <si>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</si>
  <si>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</si>
  <si>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</si>
  <si>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</si>
  <si>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</si>
  <si>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</si>
  <si>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</si>
  <si>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</si>
  <si>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</si>
  <si>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</si>
  <si>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</si>
  <si>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</si>
  <si>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</si>
  <si>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</si>
  <si>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</si>
  <si>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</si>
  <si>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</si>
  <si>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</si>
  <si>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</si>
  <si>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</si>
  <si>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</si>
  <si>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</si>
  <si>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</si>
  <si>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</si>
  <si>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</si>
  <si>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</si>
  <si>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</si>
  <si>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</si>
  <si>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</si>
  <si>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</si>
  <si>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</si>
  <si>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</si>
  <si>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</si>
  <si>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</si>
  <si>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</si>
  <si>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</si>
  <si>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</si>
  <si>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</si>
  <si>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</si>
  <si>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</si>
  <si>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</si>
  <si>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</si>
  <si>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</si>
  <si>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</si>
  <si>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</si>
  <si>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</si>
  <si>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</si>
  <si>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</si>
  <si>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</si>
  <si>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</si>
  <si>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</si>
  <si>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</si>
  <si>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</si>
  <si>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</si>
  <si>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</si>
  <si>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</si>
  <si>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</si>
  <si>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</si>
  <si>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</si>
  <si>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</si>
  <si>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</si>
  <si>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</si>
  <si>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</si>
  <si>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</si>
  <si>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</si>
  <si>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</si>
  <si>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</si>
  <si>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</si>
  <si>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</si>
  <si>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</si>
  <si>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</si>
  <si>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</si>
  <si>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</si>
  <si>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</si>
  <si>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</si>
  <si>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</si>
  <si>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</si>
  <si>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</si>
  <si>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</si>
  <si>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</si>
  <si>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</si>
  <si>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</si>
  <si>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</si>
  <si>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</si>
  <si>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</si>
  <si>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</si>
  <si>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</si>
  <si>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</si>
  <si>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</si>
  <si>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</si>
  <si>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</si>
  <si>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</si>
  <si>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</si>
  <si>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</si>
  <si>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</si>
  <si>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</si>
  <si>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</si>
  <si>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</si>
  <si>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</si>
  <si>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</si>
  <si>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</si>
  <si>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</si>
  <si>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</si>
  <si>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</si>
  <si>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</si>
  <si>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</si>
  <si>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</si>
  <si>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</si>
  <si>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</si>
  <si>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</si>
  <si>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</si>
  <si>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</si>
  <si>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</si>
  <si>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</si>
  <si>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</si>
  <si>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</si>
  <si>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</si>
  <si>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</si>
  <si>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</si>
  <si>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</si>
  <si>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</si>
  <si>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</si>
  <si>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</si>
  <si>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</si>
  <si>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</si>
  <si>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</si>
  <si>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</si>
  <si>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</si>
  <si>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</si>
  <si>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</si>
  <si>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</si>
  <si>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</si>
  <si>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</si>
  <si>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</si>
  <si>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</si>
  <si>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</si>
  <si>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</si>
  <si>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</si>
  <si>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</si>
  <si>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</si>
  <si>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</si>
  <si>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</si>
  <si>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</si>
  <si>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</si>
  <si>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</si>
  <si>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</si>
  <si>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</si>
  <si>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</si>
  <si>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</si>
  <si>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</si>
  <si>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</si>
  <si>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</si>
  <si>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</si>
  <si>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</si>
  <si>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</si>
  <si>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</si>
  <si>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</si>
  <si>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</si>
  <si>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</si>
  <si>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</si>
  <si>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</si>
  <si>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</si>
  <si>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</si>
  <si>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</si>
  <si>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</si>
  <si>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</si>
  <si>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</si>
  <si>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</si>
  <si>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</si>
  <si>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</si>
  <si>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</si>
  <si>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</si>
  <si>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</si>
  <si>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</si>
  <si>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</si>
  <si>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</si>
  <si>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</si>
  <si>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</si>
  <si>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</si>
  <si>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</si>
  <si>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</si>
  <si>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</si>
  <si>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</si>
  <si>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</si>
  <si>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</si>
  <si>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</si>
  <si>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</si>
  <si>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</si>
  <si>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</si>
  <si>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</si>
  <si>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</si>
  <si>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</si>
  <si>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</si>
  <si>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</si>
  <si>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</si>
  <si>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</si>
  <si>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</si>
  <si>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</si>
  <si>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</si>
  <si>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</si>
  <si>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</si>
  <si>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</si>
  <si>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</si>
  <si>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</si>
  <si>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</si>
  <si>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</si>
  <si>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</si>
  <si>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</si>
  <si>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</si>
  <si>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</si>
  <si>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</si>
  <si>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</si>
  <si>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</si>
  <si>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</si>
  <si>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</si>
  <si>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</si>
  <si>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</si>
  <si>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</si>
  <si>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</si>
  <si>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</si>
  <si>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</si>
  <si>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</si>
  <si>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</si>
  <si>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</si>
  <si>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</si>
  <si>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</si>
  <si>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</si>
  <si>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</si>
  <si>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</si>
  <si>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</si>
  <si>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</si>
  <si>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</si>
  <si>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</si>
  <si>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</si>
  <si>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</si>
  <si>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</si>
  <si>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</si>
  <si>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</si>
  <si>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</si>
  <si>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</si>
  <si>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</si>
  <si>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</si>
  <si>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</si>
  <si>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</si>
  <si>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</si>
  <si>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</si>
  <si>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</si>
  <si>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</si>
  <si>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</si>
  <si>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</si>
  <si>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</si>
  <si>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</si>
  <si>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</si>
  <si>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</si>
  <si>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</si>
  <si>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</si>
  <si>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</si>
  <si>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</si>
  <si>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</si>
  <si>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</si>
  <si>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</si>
  <si>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</si>
  <si>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</si>
  <si>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</si>
  <si>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</si>
  <si>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</si>
  <si>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</si>
  <si>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</si>
  <si>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</si>
  <si>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</si>
  <si>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</si>
  <si>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</si>
  <si>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</si>
  <si>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</si>
  <si>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</si>
  <si>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</si>
  <si>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</si>
  <si>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</si>
  <si>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</si>
  <si>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</si>
  <si>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</si>
  <si>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</si>
  <si>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</si>
  <si>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</si>
  <si>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</si>
  <si>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</si>
  <si>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</si>
  <si>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</si>
  <si>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</si>
  <si>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</si>
  <si>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</si>
  <si>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</si>
  <si>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</si>
  <si>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</si>
  <si>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</si>
  <si>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</si>
  <si>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</si>
  <si>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</si>
  <si>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</si>
  <si>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</si>
  <si>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</si>
  <si>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</si>
  <si>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</si>
  <si>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</si>
  <si>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</si>
  <si>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</si>
  <si>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</si>
  <si>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</si>
  <si>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</si>
  <si>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</si>
  <si>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</si>
  <si>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</si>
  <si>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</si>
  <si>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</si>
  <si>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</si>
  <si>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</si>
  <si>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</si>
  <si>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</si>
  <si>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</si>
  <si>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</si>
  <si>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</si>
  <si>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</si>
  <si>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</si>
  <si>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</si>
  <si>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</si>
  <si>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</si>
  <si>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</si>
  <si>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</si>
  <si>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</si>
  <si>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</si>
  <si>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</si>
  <si>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</si>
  <si>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</si>
  <si>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</si>
  <si>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</si>
  <si>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</si>
  <si>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</si>
  <si>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</si>
  <si>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</si>
  <si>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</si>
  <si>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</si>
  <si>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</si>
  <si>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</si>
  <si>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</si>
  <si>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</si>
  <si>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</si>
  <si>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</si>
  <si>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</si>
  <si>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</si>
  <si>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</si>
  <si>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</si>
  <si>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</si>
  <si>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</si>
  <si>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</si>
  <si>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</si>
  <si>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</si>
  <si>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</si>
  <si>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</si>
  <si>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</si>
  <si>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</si>
  <si>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</si>
  <si>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</si>
  <si>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</si>
  <si>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</si>
  <si>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</si>
  <si>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</si>
  <si>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</si>
  <si>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</si>
  <si>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</si>
  <si>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</si>
  <si>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</si>
  <si>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</si>
  <si>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</si>
  <si>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</si>
  <si>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</si>
  <si>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</si>
  <si>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</si>
  <si>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</si>
  <si>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</si>
  <si>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</si>
  <si>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</si>
  <si>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</si>
  <si>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</si>
  <si>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</si>
  <si>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</si>
  <si>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</si>
  <si>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</si>
  <si>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</si>
  <si>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</si>
  <si>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</si>
  <si>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</si>
  <si>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</si>
  <si>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</si>
  <si>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</si>
  <si>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</si>
  <si>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</si>
  <si>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</si>
  <si>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</si>
  <si>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</si>
  <si>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</si>
  <si>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</si>
  <si>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</si>
  <si>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</si>
  <si>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</si>
  <si>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</si>
  <si>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</si>
  <si>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</si>
  <si>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</si>
  <si>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</si>
  <si>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</si>
  <si>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</si>
  <si>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</si>
  <si>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</si>
  <si>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</si>
  <si>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</si>
  <si>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</si>
  <si>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</si>
  <si>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</si>
  <si>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</si>
  <si>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</si>
  <si>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</si>
  <si>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</si>
  <si>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</si>
  <si>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</si>
  <si>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</si>
  <si>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</si>
  <si>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</si>
  <si>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</si>
  <si>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</si>
  <si>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</si>
  <si>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</si>
  <si>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</si>
  <si>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</si>
  <si>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</si>
  <si>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</si>
  <si>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</si>
  <si>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</si>
  <si>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</si>
  <si>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</si>
  <si>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</si>
  <si>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</si>
  <si>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</si>
  <si>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</si>
  <si>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</si>
  <si>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</si>
  <si>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</si>
  <si>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</si>
  <si>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</si>
  <si>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</si>
  <si>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</si>
  <si>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</si>
  <si>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</si>
  <si>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</si>
  <si>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</si>
  <si>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</si>
  <si>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</si>
  <si>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</si>
  <si>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</si>
  <si>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</si>
  <si>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</si>
  <si>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</si>
  <si>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</si>
  <si>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</si>
  <si>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</si>
  <si>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</si>
  <si>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</si>
  <si>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</si>
  <si>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</si>
  <si>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</si>
  <si>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</si>
  <si>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</si>
  <si>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</si>
  <si>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</si>
  <si>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</si>
  <si>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</si>
  <si>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</si>
  <si>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</si>
  <si>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</si>
  <si>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</si>
  <si>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</si>
  <si>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</si>
  <si>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</si>
  <si>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</si>
  <si>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</si>
  <si>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</si>
  <si>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</si>
  <si>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</si>
  <si>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</si>
  <si>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</si>
  <si>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</si>
  <si>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</si>
  <si>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</si>
  <si>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</si>
  <si>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</si>
  <si>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</si>
  <si>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</si>
  <si>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</si>
  <si>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</si>
  <si>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</si>
  <si>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</si>
  <si>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</si>
  <si>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</si>
  <si>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</si>
  <si>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</si>
  <si>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</si>
  <si>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</si>
  <si>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</si>
  <si>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</si>
  <si>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</si>
  <si>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</si>
  <si>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</si>
  <si>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</si>
  <si>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</si>
  <si>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</si>
  <si>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</si>
  <si>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</si>
  <si>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</si>
  <si>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</si>
  <si>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</si>
  <si>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</si>
  <si>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</si>
  <si>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</si>
  <si>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</si>
  <si>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</si>
  <si>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</si>
  <si>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</si>
  <si>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</si>
  <si>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</si>
  <si>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</si>
  <si>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</si>
  <si>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</si>
  <si>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</si>
  <si>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</si>
  <si>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</si>
  <si>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</si>
  <si>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</si>
  <si>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</si>
  <si>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</si>
  <si>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</si>
  <si>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</si>
  <si>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</si>
  <si>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</si>
  <si>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</si>
  <si>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</si>
  <si>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</si>
  <si>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</si>
  <si>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</si>
  <si>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</si>
  <si>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</si>
  <si>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</si>
  <si>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</si>
  <si>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</si>
  <si>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</si>
  <si>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</si>
  <si>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</si>
  <si>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</si>
  <si>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</si>
  <si>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</si>
  <si>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</si>
  <si>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</si>
  <si>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</si>
  <si>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</si>
  <si>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</si>
  <si>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</si>
  <si>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</si>
  <si>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</si>
  <si>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</si>
  <si>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</si>
  <si>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</si>
  <si>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</si>
  <si>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</si>
  <si>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</si>
  <si>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</si>
  <si>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</si>
  <si>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</si>
  <si>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</si>
  <si>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</si>
  <si>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</si>
  <si>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</si>
  <si>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</si>
  <si>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</si>
  <si>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</si>
  <si>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</si>
  <si>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</si>
  <si>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</si>
  <si>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</si>
  <si>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</si>
  <si>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</si>
  <si>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</si>
  <si>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</si>
  <si>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</si>
  <si>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</si>
  <si>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</si>
  <si>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</si>
  <si>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</si>
  <si>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</si>
  <si>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</si>
  <si>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</si>
  <si>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</si>
  <si>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</si>
  <si>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</si>
  <si>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</si>
  <si>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</si>
  <si>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</si>
  <si>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</si>
  <si>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</si>
  <si>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</si>
  <si>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</si>
  <si>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</si>
  <si>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</si>
  <si>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</si>
  <si>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</si>
  <si>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</si>
  <si>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</si>
  <si>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</si>
  <si>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</si>
  <si>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</si>
  <si>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</si>
  <si>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</si>
  <si>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</si>
  <si>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</si>
  <si>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</si>
  <si>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</si>
  <si>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</si>
  <si>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</si>
  <si>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</si>
  <si>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</si>
  <si>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</si>
  <si>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</si>
  <si>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</si>
  <si>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</si>
  <si>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</si>
  <si>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</si>
  <si>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</si>
  <si>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</si>
  <si>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</si>
  <si>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</si>
  <si>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</si>
  <si>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</si>
  <si>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</si>
  <si>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</si>
  <si>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</si>
  <si>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</si>
  <si>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</si>
  <si>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</si>
  <si>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</si>
  <si>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</si>
  <si>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</si>
  <si>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</si>
  <si>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</si>
  <si>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</si>
  <si>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</si>
  <si>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</si>
  <si>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</si>
  <si>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</si>
  <si>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</si>
  <si>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</si>
  <si>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</si>
  <si>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</si>
  <si>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</si>
  <si>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</si>
  <si>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</si>
  <si>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</si>
  <si>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</si>
  <si>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</si>
  <si>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</si>
  <si>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</si>
  <si>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</si>
  <si>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</si>
  <si>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</si>
  <si>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</si>
  <si>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</si>
  <si>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</si>
  <si>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</si>
  <si>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</si>
  <si>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</si>
  <si>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</si>
  <si>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</si>
  <si>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</si>
  <si>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</si>
  <si>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</si>
  <si>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</si>
  <si>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</si>
  <si>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</si>
  <si>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</si>
  <si>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</si>
  <si>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</si>
  <si>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</si>
  <si>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</si>
  <si>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</si>
  <si>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</si>
  <si>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</si>
  <si>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</si>
  <si>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</si>
  <si>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</si>
  <si>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</si>
  <si>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Refi 01/15/15</t>
  </si>
  <si>
    <t>7/2025</t>
  </si>
  <si>
    <t>8/2017</t>
  </si>
  <si>
    <t>8/2037</t>
  </si>
  <si>
    <t>Audit adjustment to fund balance for $189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</si>
</sst>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1507</v>
      </c>
      <c r="B2" s="21">
        <v>575</v>
      </c>
      <c r="C2" s="21">
        <v>575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5134193.8600000003</v>
      </c>
      <c r="G9" s="18"/>
      <c r="H9" s="18"/>
      <c r="I9" s="18">
        <v>587839.06000000006</v>
      </c>
      <c r="J9" s="67">
        <f>SUM(I439)</f>
        <v>1070652.3899999999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v>8664756.3000000007</v>
      </c>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107763.91</v>
      </c>
      <c r="H12" s="18">
        <v>407760.85</v>
      </c>
      <c r="I12" s="18">
        <v>21901.02</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23872.02</v>
      </c>
      <c r="G13" s="18">
        <v>5565.66</v>
      </c>
      <c r="H13" s="18">
        <v>123468.02</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20096.439999999999</v>
      </c>
      <c r="G14" s="18"/>
      <c r="H14" s="18">
        <v>4898</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27128.25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2715</v>
      </c>
      <c r="G17" s="18"/>
      <c r="H17" s="18">
        <v>449.6</v>
      </c>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0.03</v>
      </c>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5180877.3500000006</v>
      </c>
      <c r="G19" s="41">
        <f>SUM(G9:G18)</f>
        <v>140457.82</v>
      </c>
      <c r="H19" s="41">
        <f>SUM(H9:H18)</f>
        <v>536576.47</v>
      </c>
      <c r="I19" s="41">
        <f>SUM(I9:I18)</f>
        <v>9274496.3800000008</v>
      </c>
      <c r="J19" s="41">
        <f>SUM(J9:J18)</f>
        <v>1070652.3899999999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413805.96</v>
      </c>
      <c r="G22" s="18"/>
      <c r="H22" s="18">
        <v>123917.62</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120695.69</v>
      </c>
      <c r="G24" s="18"/>
      <c r="H24" s="18"/>
      <c r="I24" s="18">
        <v>1085465.76</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4262.18</v>
      </c>
      <c r="G28" s="18"/>
      <c r="H28" s="18">
        <v>54</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1851030.18</v>
      </c>
      <c r="G30" s="18">
        <v>39248.080000000002</v>
      </c>
      <c r="H30" s="18">
        <v>6000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33705.29</v>
      </c>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2423499.2999999998</v>
      </c>
      <c r="G32" s="41">
        <f>SUM(G22:G31)</f>
        <v>39248.080000000002</v>
      </c>
      <c r="H32" s="41">
        <f>SUM(H22:H31)</f>
        <v>129971.62</v>
      </c>
      <c r="I32" s="41">
        <f>SUM(I22:I31)</f>
        <v>1085465.76</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27128.25</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74081.490000000005</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35179</v>
      </c>
      <c r="G48" s="18"/>
      <c r="H48" s="18">
        <v>406604.85</v>
      </c>
      <c r="I48" s="18">
        <v>8189030.6200000001</v>
      </c>
      <c r="J48" s="13">
        <f>SUM(I459)</f>
        <v>1070652.3899999999</v>
      </c>
      <c r="K48" s="24" t="s">
        <v>288</v>
      </c>
      <c r="L48" s="24" t="s">
        <v>288</v>
      </c>
      <c r="M48" s="8"/>
      <c r="N48" s="266"/>
    </row>
    <row r="49" spans="1:14" s="3" customFormat="1" ht="12.2" customHeight="1" x14ac:dyDescent="0.15">
      <c r="A49" s="1" t="s">
        <v>859</v>
      </c>
      <c r="B49" s="2" t="s">
        <v>289</v>
      </c>
      <c r="C49" s="6">
        <v>34</v>
      </c>
      <c r="D49" s="2"/>
      <c r="E49" s="6">
        <v>753</v>
      </c>
      <c r="F49" s="18">
        <v>465570.84</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2156628.21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2757378.05</v>
      </c>
      <c r="G51" s="41">
        <f>SUM(G35:G50)</f>
        <v>101209.74</v>
      </c>
      <c r="H51" s="41">
        <f>SUM(H35:H50)</f>
        <v>406604.85</v>
      </c>
      <c r="I51" s="41">
        <f>SUM(I35:I50)</f>
        <v>8189030.6200000001</v>
      </c>
      <c r="J51" s="41">
        <f>SUM(J35:J50)</f>
        <v>1070652.3899999999</v>
      </c>
      <c r="K51" s="45" t="s">
        <v>288</v>
      </c>
      <c r="L51" s="45" t="s">
        <v>288</v>
      </c>
      <c r="N51" s="264"/>
    </row>
    <row r="52" spans="1:14" s="3" customFormat="1" ht="12.2" customHeight="1" thickTop="1" x14ac:dyDescent="0.15">
      <c r="A52" s="38" t="s">
        <v>455</v>
      </c>
      <c r="B52" s="39" t="s">
        <v>289</v>
      </c>
      <c r="C52" s="6">
        <v>37</v>
      </c>
      <c r="D52" s="39" t="s">
        <v>653</v>
      </c>
      <c r="E52" s="39"/>
      <c r="F52" s="41">
        <f>F51+F32</f>
        <v>5180877.3499999996</v>
      </c>
      <c r="G52" s="41">
        <f>G51+G32</f>
        <v>140457.82</v>
      </c>
      <c r="H52" s="41">
        <f>H51+H32</f>
        <v>536576.47</v>
      </c>
      <c r="I52" s="41">
        <f>I51+I32</f>
        <v>9274496.3800000008</v>
      </c>
      <c r="J52" s="41">
        <f>J51+J32</f>
        <v>1070652.3899999999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38748271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38748271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81505</v>
      </c>
      <c r="G63" s="24" t="s">
        <v>288</v>
      </c>
      <c r="H63" s="18">
        <v>83055</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5225</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v>114169.98</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86730</v>
      </c>
      <c r="G79" s="45" t="s">
        <v>288</v>
      </c>
      <c r="H79" s="41">
        <f>SUM(H63:H78)</f>
        <v>197224.97999999998</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54316.75</v>
      </c>
      <c r="G96" s="18"/>
      <c r="H96" s="18"/>
      <c r="I96" s="18">
        <v>285961.64</v>
      </c>
      <c r="J96" s="18">
        <v>52.83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682694.95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63305.53</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52948.01</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59209.86</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461501.46</v>
      </c>
      <c r="G110" s="18">
        <v>9157.14</v>
      </c>
      <c r="H110" s="18">
        <v>116858.46</v>
      </c>
      <c r="I110" s="18">
        <v>28020.01</v>
      </c>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568766.22</v>
      </c>
      <c r="G111" s="41">
        <f>SUM(G96:G110)</f>
        <v>691852.09</v>
      </c>
      <c r="H111" s="41">
        <f>SUM(H96:H110)</f>
        <v>239373.85</v>
      </c>
      <c r="I111" s="41">
        <f>SUM(I96:I110)</f>
        <v>313981.65000000002</v>
      </c>
      <c r="J111" s="41">
        <f>SUM(J96:J110)</f>
        <v>52.83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39403767.219999999</v>
      </c>
      <c r="G112" s="41">
        <f>G60+G111</f>
        <v>691852.09</v>
      </c>
      <c r="H112" s="41">
        <f>H60+H79+H94+H111</f>
        <v>436598.82999999996</v>
      </c>
      <c r="I112" s="41">
        <f>I60+I111</f>
        <v>313981.65000000002</v>
      </c>
      <c r="J112" s="41">
        <f>J60+J111</f>
        <v>52.83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6093244.96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5381912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7824.36</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11482981.32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721925.96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342131.22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11201.6</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9835.66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39685.629999999997</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1075258.78</v>
      </c>
      <c r="G136" s="41">
        <f>SUM(G123:G135)</f>
        <v>9835.66</v>
      </c>
      <c r="H136" s="41">
        <f>SUM(H123:H135)</f>
        <v>39685.629999999997</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12558240.1</v>
      </c>
      <c r="G140" s="41">
        <f>G121+SUM(G136:G137)</f>
        <v>9835.66</v>
      </c>
      <c r="H140" s="41">
        <f>H121+SUM(H136:H139)</f>
        <v>39685.629999999997</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12552.79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53619.75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135305.06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623419.48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90187.18</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90187.18</v>
      </c>
      <c r="G162" s="41">
        <f>SUM(G150:G161)</f>
        <v>135305.06</v>
      </c>
      <c r="H162" s="41">
        <f>SUM(H150:H161)</f>
        <v>689592.02</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90187.18</v>
      </c>
      <c r="G169" s="41">
        <f>G147+G162+SUM(G163:G168)</f>
        <v>135305.06</v>
      </c>
      <c r="H169" s="41">
        <f>H147+H162+SUM(H163:H168)</f>
        <v>689592.02</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37.35</v>
      </c>
      <c r="H179" s="18"/>
      <c r="I179" s="18"/>
      <c r="J179" s="18">
        <v>100000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37.35</v>
      </c>
      <c r="H183" s="41">
        <f>SUM(H179:H182)</f>
        <v>0</v>
      </c>
      <c r="I183" s="41">
        <f>SUM(I179:I182)</f>
        <v>0</v>
      </c>
      <c r="J183" s="41">
        <f>SUM(J179:J182)</f>
        <v>100000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33500</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33500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33500</v>
      </c>
      <c r="G192" s="41">
        <f>G183+SUM(G188:G191)</f>
        <v>37.35</v>
      </c>
      <c r="H192" s="41">
        <f>+H183+SUM(H188:H191)</f>
        <v>0</v>
      </c>
      <c r="I192" s="41">
        <f>I177+I183+SUM(I188:I191)</f>
        <v>0</v>
      </c>
      <c r="J192" s="41">
        <f>J183</f>
        <v>100000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52085694.5</v>
      </c>
      <c r="G193" s="47">
        <f>G112+G140+G169+G192</f>
        <v>837030.16</v>
      </c>
      <c r="H193" s="47">
        <f>H112+H140+H169+H192</f>
        <v>1165876.48</v>
      </c>
      <c r="I193" s="47">
        <f>I112+I140+I169+I192</f>
        <v>313981.65000000002</v>
      </c>
      <c r="J193" s="47">
        <f>J112+J140+J192</f>
        <v>100052.83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7836075.0999999996</v>
      </c>
      <c r="G197" s="18">
        <v>3832092.34</v>
      </c>
      <c r="H197" s="18">
        <v>31470.05</v>
      </c>
      <c r="I197" s="18">
        <v>363648.17</v>
      </c>
      <c r="J197" s="18">
        <v>46546.07</v>
      </c>
      <c r="K197" s="18">
        <v>1446.5</v>
      </c>
      <c r="L197" s="19">
        <f>SUM(F197:K197)</f>
        <v>12111278.23</v>
      </c>
      <c r="M197" s="8"/>
      <c r="N197" s="266"/>
    </row>
    <row r="198" spans="1:14" s="3" customFormat="1" ht="12.2" customHeight="1" x14ac:dyDescent="0.15">
      <c r="A198" s="1" t="s">
        <v>439</v>
      </c>
      <c r="B198" s="2" t="s">
        <v>341</v>
      </c>
      <c r="C198" s="2" t="s">
        <v>291</v>
      </c>
      <c r="D198" s="2" t="s">
        <v>431</v>
      </c>
      <c r="E198" s="6">
        <v>1200</v>
      </c>
      <c r="F198" s="18">
        <v>3050035.27</v>
      </c>
      <c r="G198" s="18">
        <v>1441742.72</v>
      </c>
      <c r="H198" s="18">
        <v>809479.53</v>
      </c>
      <c r="I198" s="18">
        <v>27209.53</v>
      </c>
      <c r="J198" s="18">
        <v>6626.71</v>
      </c>
      <c r="K198" s="18">
        <v>7321.19</v>
      </c>
      <c r="L198" s="19">
        <f>SUM(F198:K198)</f>
        <v>5342414.9500000011</v>
      </c>
      <c r="M198" s="8"/>
      <c r="N198" s="266"/>
    </row>
    <row r="199" spans="1:14" s="3" customFormat="1" ht="12.2" customHeight="1" x14ac:dyDescent="0.15">
      <c r="A199" s="1" t="s">
        <v>440</v>
      </c>
      <c r="B199" s="2" t="s">
        <v>341</v>
      </c>
      <c r="C199" s="2" t="s">
        <v>292</v>
      </c>
      <c r="D199" s="2" t="s">
        <v>431</v>
      </c>
      <c r="E199" s="6">
        <v>1300</v>
      </c>
      <c r="F199" s="18"/>
      <c r="G199" s="18"/>
      <c r="H199" s="18"/>
      <c r="I199" s="18">
        <v>9781.92</v>
      </c>
      <c r="J199" s="18"/>
      <c r="K199" s="18"/>
      <c r="L199" s="19">
        <f>SUM(F199:K199)</f>
        <v>9781.92</v>
      </c>
      <c r="M199" s="8"/>
      <c r="N199" s="266"/>
    </row>
    <row r="200" spans="1:14" s="3" customFormat="1" ht="12.2" customHeight="1" x14ac:dyDescent="0.15">
      <c r="A200" s="1" t="s">
        <v>441</v>
      </c>
      <c r="B200" s="2" t="s">
        <v>341</v>
      </c>
      <c r="C200" s="2" t="s">
        <v>293</v>
      </c>
      <c r="D200" s="2" t="s">
        <v>431</v>
      </c>
      <c r="E200" s="6">
        <v>1400</v>
      </c>
      <c r="F200" s="18">
        <v>186417</v>
      </c>
      <c r="G200" s="18">
        <v>86899.43</v>
      </c>
      <c r="H200" s="18">
        <v>10712</v>
      </c>
      <c r="I200" s="18">
        <v>30758.51</v>
      </c>
      <c r="J200" s="18"/>
      <c r="K200" s="18">
        <v>2485.9</v>
      </c>
      <c r="L200" s="19">
        <f>SUM(F200:K200)</f>
        <v>317272.84000000003</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1704758.97</v>
      </c>
      <c r="G202" s="18">
        <v>794683.85</v>
      </c>
      <c r="H202" s="18">
        <v>262312.02</v>
      </c>
      <c r="I202" s="18">
        <v>317210.3</v>
      </c>
      <c r="J202" s="18">
        <v>11664.63</v>
      </c>
      <c r="K202" s="18">
        <v>5036.4799999999996</v>
      </c>
      <c r="L202" s="19">
        <f t="shared" ref="L202:L208" si="0">SUM(F202:K202)</f>
        <v>3095666.2499999995</v>
      </c>
      <c r="M202" s="8"/>
      <c r="N202" s="266"/>
    </row>
    <row r="203" spans="1:14" s="3" customFormat="1" ht="12.2" customHeight="1" x14ac:dyDescent="0.15">
      <c r="A203" s="1" t="s">
        <v>443</v>
      </c>
      <c r="B203" s="2" t="s">
        <v>341</v>
      </c>
      <c r="C203" s="2" t="s">
        <v>295</v>
      </c>
      <c r="D203" s="2" t="s">
        <v>431</v>
      </c>
      <c r="E203" s="6">
        <v>2200</v>
      </c>
      <c r="F203" s="18">
        <v>681841.87</v>
      </c>
      <c r="G203" s="18">
        <v>387488.02</v>
      </c>
      <c r="H203" s="18">
        <v>76106.22</v>
      </c>
      <c r="I203" s="18">
        <v>20468.63</v>
      </c>
      <c r="J203" s="18">
        <v>215146.6</v>
      </c>
      <c r="K203" s="18"/>
      <c r="L203" s="19">
        <f t="shared" si="0"/>
        <v>1381051.34</v>
      </c>
      <c r="M203" s="8"/>
      <c r="N203" s="266"/>
    </row>
    <row r="204" spans="1:14" s="3" customFormat="1" ht="12.2" customHeight="1" x14ac:dyDescent="0.15">
      <c r="A204" s="1" t="s">
        <v>444</v>
      </c>
      <c r="B204" s="2" t="s">
        <v>341</v>
      </c>
      <c r="C204" s="2" t="s">
        <v>296</v>
      </c>
      <c r="D204" s="2" t="s">
        <v>431</v>
      </c>
      <c r="E204" s="6">
        <v>2300</v>
      </c>
      <c r="F204" s="18">
        <v>866224.49</v>
      </c>
      <c r="G204" s="18">
        <v>403795.86</v>
      </c>
      <c r="H204" s="18">
        <v>93094.64</v>
      </c>
      <c r="I204" s="18">
        <v>19249.41</v>
      </c>
      <c r="J204" s="18">
        <v>10731.2</v>
      </c>
      <c r="K204" s="18">
        <v>28500.97</v>
      </c>
      <c r="L204" s="19">
        <f t="shared" si="0"/>
        <v>1421596.5699999998</v>
      </c>
      <c r="M204" s="8"/>
      <c r="N204" s="266"/>
    </row>
    <row r="205" spans="1:14" s="3" customFormat="1" ht="12.2" customHeight="1" x14ac:dyDescent="0.15">
      <c r="A205" s="1" t="s">
        <v>445</v>
      </c>
      <c r="B205" s="2" t="s">
        <v>341</v>
      </c>
      <c r="C205" s="2" t="s">
        <v>297</v>
      </c>
      <c r="D205" s="2" t="s">
        <v>431</v>
      </c>
      <c r="E205" s="6">
        <v>2400</v>
      </c>
      <c r="F205" s="18">
        <v>843996.74</v>
      </c>
      <c r="G205" s="18">
        <v>393434.25</v>
      </c>
      <c r="H205" s="18">
        <v>47931.14</v>
      </c>
      <c r="I205" s="18">
        <v>2067.2800000000002</v>
      </c>
      <c r="J205" s="18">
        <v>28130.5</v>
      </c>
      <c r="K205" s="18">
        <v>15170.24</v>
      </c>
      <c r="L205" s="19">
        <f t="shared" si="0"/>
        <v>1330730.1499999999</v>
      </c>
      <c r="M205" s="8"/>
      <c r="N205" s="266"/>
    </row>
    <row r="206" spans="1:14" s="3" customFormat="1" ht="12.2" customHeight="1" x14ac:dyDescent="0.15">
      <c r="A206" s="1" t="s">
        <v>446</v>
      </c>
      <c r="B206" s="2" t="s">
        <v>341</v>
      </c>
      <c r="C206" s="2" t="s">
        <v>298</v>
      </c>
      <c r="D206" s="2" t="s">
        <v>431</v>
      </c>
      <c r="E206" s="6">
        <v>2500</v>
      </c>
      <c r="F206" s="18">
        <v>308736.34000000003</v>
      </c>
      <c r="G206" s="18">
        <v>143919.34</v>
      </c>
      <c r="H206" s="18">
        <v>2142.36</v>
      </c>
      <c r="I206" s="18">
        <v>525648.38</v>
      </c>
      <c r="J206" s="18"/>
      <c r="K206" s="18">
        <v>9025.61</v>
      </c>
      <c r="L206" s="19">
        <f t="shared" si="0"/>
        <v>989472.03</v>
      </c>
      <c r="M206" s="8"/>
      <c r="N206" s="266"/>
    </row>
    <row r="207" spans="1:14" s="3" customFormat="1" ht="12.2" customHeight="1" x14ac:dyDescent="0.15">
      <c r="A207" s="1" t="s">
        <v>447</v>
      </c>
      <c r="B207" s="2" t="s">
        <v>341</v>
      </c>
      <c r="C207" s="2" t="s">
        <v>299</v>
      </c>
      <c r="D207" s="2" t="s">
        <v>431</v>
      </c>
      <c r="E207" s="6">
        <v>2600</v>
      </c>
      <c r="F207" s="18">
        <v>772404.32</v>
      </c>
      <c r="G207" s="18">
        <v>360061.01</v>
      </c>
      <c r="H207" s="18">
        <v>433090.29</v>
      </c>
      <c r="I207" s="18"/>
      <c r="J207" s="18">
        <v>51048.7</v>
      </c>
      <c r="K207" s="18"/>
      <c r="L207" s="19">
        <f t="shared" si="0"/>
        <v>1616604.32</v>
      </c>
      <c r="M207" s="8"/>
      <c r="N207" s="266"/>
    </row>
    <row r="208" spans="1:14" s="3" customFormat="1" ht="12.2" customHeight="1" x14ac:dyDescent="0.15">
      <c r="A208" s="1" t="s">
        <v>448</v>
      </c>
      <c r="B208" s="2" t="s">
        <v>341</v>
      </c>
      <c r="C208" s="2" t="s">
        <v>300</v>
      </c>
      <c r="D208" s="2" t="s">
        <v>431</v>
      </c>
      <c r="E208" s="6">
        <v>2700</v>
      </c>
      <c r="F208" s="18"/>
      <c r="G208" s="18"/>
      <c r="H208" s="18">
        <v>1531095.93</v>
      </c>
      <c r="I208" s="18"/>
      <c r="J208" s="18"/>
      <c r="K208" s="18"/>
      <c r="L208" s="19">
        <f t="shared" si="0"/>
        <v>1531095.93</v>
      </c>
      <c r="M208" s="8"/>
      <c r="N208" s="266"/>
    </row>
    <row r="209" spans="1:14" s="3" customFormat="1" ht="12.2" customHeight="1" x14ac:dyDescent="0.15">
      <c r="A209" s="1" t="s">
        <v>449</v>
      </c>
      <c r="B209" s="2" t="s">
        <v>341</v>
      </c>
      <c r="C209" s="2" t="s">
        <v>343</v>
      </c>
      <c r="D209" s="2" t="s">
        <v>431</v>
      </c>
      <c r="E209" s="6">
        <v>2800</v>
      </c>
      <c r="F209" s="18"/>
      <c r="G209" s="18"/>
      <c r="H209" s="18">
        <v>63337.07</v>
      </c>
      <c r="I209" s="18"/>
      <c r="J209" s="18"/>
      <c r="K209" s="18"/>
      <c r="L209" s="19">
        <f>SUM(F209:K209)</f>
        <v>63337.07</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16250490.1</v>
      </c>
      <c r="G211" s="41">
        <f t="shared" si="1"/>
        <v>7844116.8199999994</v>
      </c>
      <c r="H211" s="41">
        <f t="shared" si="1"/>
        <v>3360771.2499999995</v>
      </c>
      <c r="I211" s="41">
        <f>SUM(I197:I210)</f>
        <v>1316042.1299999999</v>
      </c>
      <c r="J211" s="41">
        <f t="shared" si="1"/>
        <v>369894.41000000003</v>
      </c>
      <c r="K211" s="41">
        <f t="shared" si="1"/>
        <v>68986.89</v>
      </c>
      <c r="L211" s="41">
        <f t="shared" si="1"/>
        <v>29210301.600000001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4120984.06</v>
      </c>
      <c r="G233" s="18">
        <v>2090649.57</v>
      </c>
      <c r="H233" s="18">
        <v>9600.9</v>
      </c>
      <c r="I233" s="18">
        <v>237985.39</v>
      </c>
      <c r="J233" s="18">
        <v>60875.96</v>
      </c>
      <c r="K233" s="18">
        <v>11870</v>
      </c>
      <c r="L233" s="19">
        <f>SUM(F233:K233)</f>
        <v>6531965.8799999999</v>
      </c>
      <c r="M233" s="8"/>
      <c r="N233" s="266"/>
    </row>
    <row r="234" spans="1:14" s="3" customFormat="1" ht="12.2" customHeight="1" x14ac:dyDescent="0.15">
      <c r="A234" s="1" t="s">
        <v>439</v>
      </c>
      <c r="B234" s="2" t="s">
        <v>350</v>
      </c>
      <c r="C234" s="2" t="s">
        <v>291</v>
      </c>
      <c r="D234" s="2" t="s">
        <v>431</v>
      </c>
      <c r="E234" s="6">
        <v>1200</v>
      </c>
      <c r="F234" s="18">
        <v>1264227.58</v>
      </c>
      <c r="G234" s="18">
        <v>642690.54</v>
      </c>
      <c r="H234" s="18">
        <v>1082434.0900000001</v>
      </c>
      <c r="I234" s="18">
        <v>7827.18</v>
      </c>
      <c r="J234" s="18">
        <v>6386.49</v>
      </c>
      <c r="K234" s="18">
        <v>3445.26</v>
      </c>
      <c r="L234" s="19">
        <f>SUM(F234:K234)</f>
        <v>3007011.14</v>
      </c>
      <c r="M234" s="8"/>
      <c r="N234" s="266"/>
    </row>
    <row r="235" spans="1:14" s="3" customFormat="1" ht="12.2" customHeight="1" x14ac:dyDescent="0.15">
      <c r="A235" s="1" t="s">
        <v>440</v>
      </c>
      <c r="B235" s="2" t="s">
        <v>350</v>
      </c>
      <c r="C235" s="2" t="s">
        <v>292</v>
      </c>
      <c r="D235" s="2" t="s">
        <v>431</v>
      </c>
      <c r="E235" s="6">
        <v>1300</v>
      </c>
      <c r="F235" s="18"/>
      <c r="G235" s="18"/>
      <c r="H235" s="18">
        <v>126082.42</v>
      </c>
      <c r="I235" s="18"/>
      <c r="J235" s="18"/>
      <c r="K235" s="18"/>
      <c r="L235" s="19">
        <f>SUM(F235:K235)</f>
        <v>126082.42</v>
      </c>
      <c r="M235" s="8"/>
      <c r="N235" s="266"/>
    </row>
    <row r="236" spans="1:14" s="3" customFormat="1" ht="12.2" customHeight="1" x14ac:dyDescent="0.15">
      <c r="A236" s="1" t="s">
        <v>441</v>
      </c>
      <c r="B236" s="2" t="s">
        <v>350</v>
      </c>
      <c r="C236" s="2" t="s">
        <v>293</v>
      </c>
      <c r="D236" s="2" t="s">
        <v>431</v>
      </c>
      <c r="E236" s="6">
        <v>1400</v>
      </c>
      <c r="F236" s="18">
        <v>365252.4</v>
      </c>
      <c r="G236" s="18">
        <v>184630.93</v>
      </c>
      <c r="H236" s="18">
        <v>80080.399999999994</v>
      </c>
      <c r="I236" s="18">
        <v>25066.85</v>
      </c>
      <c r="J236" s="18">
        <v>36963.14</v>
      </c>
      <c r="K236" s="18">
        <v>102018.16</v>
      </c>
      <c r="L236" s="19">
        <f>SUM(F236:K236)</f>
        <v>794011.88000000012</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705604.09</v>
      </c>
      <c r="G238" s="18">
        <v>356674.84</v>
      </c>
      <c r="H238" s="18">
        <v>123982.16</v>
      </c>
      <c r="I238" s="18">
        <v>17594.28</v>
      </c>
      <c r="J238" s="18">
        <v>12293.4</v>
      </c>
      <c r="K238" s="18">
        <v>319.08</v>
      </c>
      <c r="L238" s="19">
        <f t="shared" ref="L238:L244" si="4">SUM(F238:K238)</f>
        <v>1216467.8499999999</v>
      </c>
      <c r="M238" s="8"/>
      <c r="N238" s="266"/>
    </row>
    <row r="239" spans="1:14" s="3" customFormat="1" ht="12.2" customHeight="1" x14ac:dyDescent="0.15">
      <c r="A239" s="1" t="s">
        <v>443</v>
      </c>
      <c r="B239" s="2" t="s">
        <v>350</v>
      </c>
      <c r="C239" s="2" t="s">
        <v>295</v>
      </c>
      <c r="D239" s="2" t="s">
        <v>431</v>
      </c>
      <c r="E239" s="6">
        <v>2200</v>
      </c>
      <c r="F239" s="18">
        <v>273399.44</v>
      </c>
      <c r="G239" s="18">
        <v>170973.6</v>
      </c>
      <c r="H239" s="18">
        <v>67931.210000000006</v>
      </c>
      <c r="I239" s="18">
        <v>134041.54999999999</v>
      </c>
      <c r="J239" s="18">
        <v>397513.59</v>
      </c>
      <c r="K239" s="18"/>
      <c r="L239" s="19">
        <f t="shared" si="4"/>
        <v>1043859.3900000001</v>
      </c>
      <c r="M239" s="8"/>
      <c r="N239" s="266"/>
    </row>
    <row r="240" spans="1:14" s="3" customFormat="1" ht="12.2" customHeight="1" x14ac:dyDescent="0.15">
      <c r="A240" s="1" t="s">
        <v>444</v>
      </c>
      <c r="B240" s="2" t="s">
        <v>350</v>
      </c>
      <c r="C240" s="2" t="s">
        <v>296</v>
      </c>
      <c r="D240" s="2" t="s">
        <v>431</v>
      </c>
      <c r="E240" s="6">
        <v>2300</v>
      </c>
      <c r="F240" s="18">
        <v>407635.05</v>
      </c>
      <c r="G240" s="18">
        <v>206054.88</v>
      </c>
      <c r="H240" s="18">
        <v>43809.24</v>
      </c>
      <c r="I240" s="18">
        <v>9632.2999999999993</v>
      </c>
      <c r="J240" s="18">
        <v>5049.9799999999996</v>
      </c>
      <c r="K240" s="18">
        <v>13412.22</v>
      </c>
      <c r="L240" s="19">
        <f t="shared" si="4"/>
        <v>685593.66999999993</v>
      </c>
      <c r="M240" s="8"/>
      <c r="N240" s="266"/>
    </row>
    <row r="241" spans="1:14" s="3" customFormat="1" ht="12.2" customHeight="1" x14ac:dyDescent="0.15">
      <c r="A241" s="1" t="s">
        <v>445</v>
      </c>
      <c r="B241" s="2" t="s">
        <v>350</v>
      </c>
      <c r="C241" s="2" t="s">
        <v>297</v>
      </c>
      <c r="D241" s="2" t="s">
        <v>431</v>
      </c>
      <c r="E241" s="6">
        <v>2400</v>
      </c>
      <c r="F241" s="18">
        <v>323412.24</v>
      </c>
      <c r="G241" s="18">
        <v>163481.21</v>
      </c>
      <c r="H241" s="18">
        <v>22366.959999999999</v>
      </c>
      <c r="I241" s="18">
        <v>2294.13</v>
      </c>
      <c r="J241" s="18">
        <v>9799</v>
      </c>
      <c r="K241" s="18">
        <v>35223.93</v>
      </c>
      <c r="L241" s="19">
        <f t="shared" si="4"/>
        <v>556577.47</v>
      </c>
      <c r="M241" s="8"/>
      <c r="N241" s="266"/>
    </row>
    <row r="242" spans="1:14" s="3" customFormat="1" ht="12.2" customHeight="1" x14ac:dyDescent="0.15">
      <c r="A242" s="1" t="s">
        <v>446</v>
      </c>
      <c r="B242" s="2" t="s">
        <v>350</v>
      </c>
      <c r="C242" s="2" t="s">
        <v>298</v>
      </c>
      <c r="D242" s="2" t="s">
        <v>431</v>
      </c>
      <c r="E242" s="6">
        <v>2500</v>
      </c>
      <c r="F242" s="18">
        <v>145287.69</v>
      </c>
      <c r="G242" s="18">
        <v>73441.27</v>
      </c>
      <c r="H242" s="18">
        <v>1008.17</v>
      </c>
      <c r="I242" s="18">
        <v>972.84</v>
      </c>
      <c r="J242" s="18"/>
      <c r="K242" s="18">
        <v>4247.34</v>
      </c>
      <c r="L242" s="19">
        <f t="shared" si="4"/>
        <v>224957.31000000003</v>
      </c>
      <c r="M242" s="8"/>
      <c r="N242" s="266"/>
    </row>
    <row r="243" spans="1:14" s="3" customFormat="1" ht="12.2" customHeight="1" x14ac:dyDescent="0.15">
      <c r="A243" s="1" t="s">
        <v>447</v>
      </c>
      <c r="B243" s="2" t="s">
        <v>350</v>
      </c>
      <c r="C243" s="2" t="s">
        <v>299</v>
      </c>
      <c r="D243" s="2" t="s">
        <v>431</v>
      </c>
      <c r="E243" s="6">
        <v>2600</v>
      </c>
      <c r="F243" s="18">
        <v>363484.39</v>
      </c>
      <c r="G243" s="18">
        <v>183737.22</v>
      </c>
      <c r="H243" s="18">
        <v>313123.65000000002</v>
      </c>
      <c r="I243" s="18">
        <v>386738.11</v>
      </c>
      <c r="J243" s="18">
        <v>17196.96</v>
      </c>
      <c r="K243" s="18"/>
      <c r="L243" s="19">
        <f t="shared" si="4"/>
        <v>1264280.33</v>
      </c>
      <c r="M243" s="8"/>
      <c r="N243" s="266"/>
    </row>
    <row r="244" spans="1:14" s="3" customFormat="1" ht="12.2" customHeight="1" x14ac:dyDescent="0.15">
      <c r="A244" s="1" t="s">
        <v>448</v>
      </c>
      <c r="B244" s="2" t="s">
        <v>350</v>
      </c>
      <c r="C244" s="2" t="s">
        <v>300</v>
      </c>
      <c r="D244" s="2" t="s">
        <v>431</v>
      </c>
      <c r="E244" s="6">
        <v>2700</v>
      </c>
      <c r="F244" s="18"/>
      <c r="G244" s="18"/>
      <c r="H244" s="18">
        <v>1006781.56</v>
      </c>
      <c r="I244" s="18"/>
      <c r="J244" s="18"/>
      <c r="K244" s="18"/>
      <c r="L244" s="19">
        <f t="shared" si="4"/>
        <v>1006781.56</v>
      </c>
      <c r="M244" s="8"/>
      <c r="N244" s="266"/>
    </row>
    <row r="245" spans="1:14" s="3" customFormat="1" ht="12.2" customHeight="1" x14ac:dyDescent="0.15">
      <c r="A245" s="1" t="s">
        <v>449</v>
      </c>
      <c r="B245" s="2" t="s">
        <v>350</v>
      </c>
      <c r="C245" s="2" t="s">
        <v>343</v>
      </c>
      <c r="D245" s="2" t="s">
        <v>431</v>
      </c>
      <c r="E245" s="6">
        <v>2800</v>
      </c>
      <c r="F245" s="18"/>
      <c r="G245" s="18"/>
      <c r="H245" s="18">
        <v>29805.68</v>
      </c>
      <c r="I245" s="18"/>
      <c r="J245" s="18"/>
      <c r="K245" s="18"/>
      <c r="L245" s="19">
        <f>SUM(F245:K245)</f>
        <v>29805.68</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7969286.9400000013</v>
      </c>
      <c r="G247" s="41">
        <f t="shared" si="5"/>
        <v>4072334.0600000005</v>
      </c>
      <c r="H247" s="41">
        <f t="shared" si="5"/>
        <v>2907006.44</v>
      </c>
      <c r="I247" s="41">
        <f>SUM(I233:I246)</f>
        <v>822152.62999999989</v>
      </c>
      <c r="J247" s="41">
        <f t="shared" si="5"/>
        <v>546078.52</v>
      </c>
      <c r="K247" s="41">
        <f t="shared" si="5"/>
        <v>170535.99</v>
      </c>
      <c r="L247" s="41">
        <f t="shared" si="5"/>
        <v>16487394.580000002</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199146</v>
      </c>
      <c r="I255" s="18"/>
      <c r="J255" s="18"/>
      <c r="K255" s="18"/>
      <c r="L255" s="19">
        <f t="shared" si="6"/>
        <v>199146</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199146</v>
      </c>
      <c r="I256" s="41">
        <f t="shared" si="7"/>
        <v>0</v>
      </c>
      <c r="J256" s="41">
        <f t="shared" si="7"/>
        <v>0</v>
      </c>
      <c r="K256" s="41">
        <f t="shared" si="7"/>
        <v>0</v>
      </c>
      <c r="L256" s="41">
        <f>SUM(F256:K256)</f>
        <v>199146</v>
      </c>
      <c r="M256" s="8"/>
      <c r="N256" s="266"/>
    </row>
    <row r="257" spans="1:14" s="3" customFormat="1" ht="12.2" customHeight="1" thickTop="1" x14ac:dyDescent="0.15">
      <c r="A257" s="38" t="s">
        <v>462</v>
      </c>
      <c r="B257" s="40">
        <v>10</v>
      </c>
      <c r="C257" s="40">
        <v>8</v>
      </c>
      <c r="D257" s="39" t="s">
        <v>431</v>
      </c>
      <c r="E257" s="40"/>
      <c r="F257" s="41">
        <f t="shared" ref="F257:L257" si="8">F211+F229+F247+F256</f>
        <v>24219777.039999999</v>
      </c>
      <c r="G257" s="41">
        <f t="shared" si="8"/>
        <v>11916450.879999999</v>
      </c>
      <c r="H257" s="41">
        <f t="shared" si="8"/>
        <v>6466923.6899999995</v>
      </c>
      <c r="I257" s="41">
        <f t="shared" si="8"/>
        <v>2138194.7599999998</v>
      </c>
      <c r="J257" s="41">
        <f t="shared" si="8"/>
        <v>915972.93</v>
      </c>
      <c r="K257" s="41">
        <f t="shared" si="8"/>
        <v>239522.88</v>
      </c>
      <c r="L257" s="41">
        <f t="shared" si="8"/>
        <v>45896842.180000007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3777800</v>
      </c>
      <c r="L260" s="19">
        <f>SUM(F260:K260)</f>
        <v>3777800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1904816.4</v>
      </c>
      <c r="L261" s="19">
        <f>SUM(F261:K261)</f>
        <v>1904816.4</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37.35</v>
      </c>
      <c r="L263" s="19">
        <f>SUM(F263:K263)</f>
        <v>37.35</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100000</v>
      </c>
      <c r="L266" s="19">
        <f t="shared" si="9"/>
        <v>100000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5782653.75</v>
      </c>
      <c r="L270" s="41">
        <f t="shared" si="9"/>
        <v>5782653.75</v>
      </c>
      <c r="N270" s="264"/>
    </row>
    <row r="271" spans="1:14" s="3" customFormat="1" ht="12.2" customHeight="1" thickTop="1" x14ac:dyDescent="0.2">
      <c r="A271" s="43" t="s">
        <v>464</v>
      </c>
      <c r="B271" s="40">
        <v>10</v>
      </c>
      <c r="C271" s="40">
        <v>18</v>
      </c>
      <c r="D271" s="39" t="s">
        <v>431</v>
      </c>
      <c r="E271" s="40"/>
      <c r="F271" s="42">
        <f t="shared" ref="F271:L271" si="11">F257+F270</f>
        <v>24219777.039999999</v>
      </c>
      <c r="G271" s="42">
        <f t="shared" si="11"/>
        <v>11916450.879999999</v>
      </c>
      <c r="H271" s="42">
        <f t="shared" si="11"/>
        <v>6466923.6899999995</v>
      </c>
      <c r="I271" s="42">
        <f t="shared" si="11"/>
        <v>2138194.7599999998</v>
      </c>
      <c r="J271" s="42">
        <f t="shared" si="11"/>
        <v>915972.93</v>
      </c>
      <c r="K271" s="42">
        <f t="shared" si="11"/>
        <v>6022176.6299999999</v>
      </c>
      <c r="L271" s="42">
        <f t="shared" si="11"/>
        <v>51679495.930000007</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9735.1200000000008</v>
      </c>
      <c r="G276" s="18">
        <v>2319.42</v>
      </c>
      <c r="H276" s="18"/>
      <c r="I276" s="18">
        <v>788.93</v>
      </c>
      <c r="J276" s="18">
        <v>236.42</v>
      </c>
      <c r="K276" s="18">
        <v>11.06</v>
      </c>
      <c r="L276" s="19">
        <f>SUM(F276:K276)</f>
        <v>13090.95</v>
      </c>
      <c r="M276" s="8"/>
      <c r="N276" s="266"/>
    </row>
    <row r="277" spans="1:14" s="3" customFormat="1" ht="12.2" customHeight="1" x14ac:dyDescent="0.15">
      <c r="A277" s="1" t="s">
        <v>439</v>
      </c>
      <c r="B277" s="2" t="s">
        <v>357</v>
      </c>
      <c r="C277" s="2" t="s">
        <v>291</v>
      </c>
      <c r="D277" s="2" t="s">
        <v>431</v>
      </c>
      <c r="E277" s="6">
        <v>1200</v>
      </c>
      <c r="F277" s="18">
        <v>290740.90999999997</v>
      </c>
      <c r="G277" s="18">
        <v>147814.41</v>
      </c>
      <c r="H277" s="18">
        <v>89667.7</v>
      </c>
      <c r="I277" s="18">
        <v>3691.7</v>
      </c>
      <c r="J277" s="18">
        <v>5175.82</v>
      </c>
      <c r="K277" s="18"/>
      <c r="L277" s="19">
        <f>SUM(F277:K277)</f>
        <v>537090.5399999998</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76998</v>
      </c>
      <c r="G279" s="18">
        <v>14578.99</v>
      </c>
      <c r="H279" s="18"/>
      <c r="I279" s="18">
        <v>8150.35</v>
      </c>
      <c r="J279" s="18"/>
      <c r="K279" s="18">
        <v>7022.12</v>
      </c>
      <c r="L279" s="19">
        <f>SUM(F279:K279)</f>
        <v>106749.46</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v>350.18</v>
      </c>
      <c r="J281" s="18"/>
      <c r="K281" s="18"/>
      <c r="L281" s="19">
        <f t="shared" ref="L281:L287" si="12">SUM(F281:K281)</f>
        <v>350.18</v>
      </c>
      <c r="M281" s="8"/>
      <c r="N281" s="266"/>
    </row>
    <row r="282" spans="1:14" s="3" customFormat="1" ht="12.2" customHeight="1" x14ac:dyDescent="0.15">
      <c r="A282" s="1" t="s">
        <v>443</v>
      </c>
      <c r="B282" s="2" t="s">
        <v>357</v>
      </c>
      <c r="C282" s="2" t="s">
        <v>295</v>
      </c>
      <c r="D282" s="2" t="s">
        <v>431</v>
      </c>
      <c r="E282" s="6">
        <v>2200</v>
      </c>
      <c r="F282" s="18"/>
      <c r="G282" s="18"/>
      <c r="H282" s="18">
        <v>30543.5</v>
      </c>
      <c r="I282" s="18">
        <v>16585.240000000002</v>
      </c>
      <c r="J282" s="18"/>
      <c r="K282" s="18"/>
      <c r="L282" s="19">
        <f t="shared" si="12"/>
        <v>47128.740000000005</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v>3494.98</v>
      </c>
      <c r="J284" s="18"/>
      <c r="K284" s="18"/>
      <c r="L284" s="19">
        <f t="shared" si="12"/>
        <v>3494.98</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v>35033.78</v>
      </c>
      <c r="I286" s="18"/>
      <c r="J286" s="18"/>
      <c r="K286" s="18"/>
      <c r="L286" s="19">
        <f t="shared" si="12"/>
        <v>35033.78</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377474.02999999997</v>
      </c>
      <c r="G290" s="42">
        <f t="shared" si="13"/>
        <v>164712.82</v>
      </c>
      <c r="H290" s="42">
        <f t="shared" si="13"/>
        <v>155244.97999999998</v>
      </c>
      <c r="I290" s="42">
        <f t="shared" si="13"/>
        <v>33061.380000000005</v>
      </c>
      <c r="J290" s="42">
        <f t="shared" si="13"/>
        <v>5412.24</v>
      </c>
      <c r="K290" s="42">
        <f t="shared" si="13"/>
        <v>7033.18</v>
      </c>
      <c r="L290" s="41">
        <f t="shared" si="13"/>
        <v>742938.62999999977</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178.64</v>
      </c>
      <c r="G314" s="18">
        <v>44.68</v>
      </c>
      <c r="H314" s="18"/>
      <c r="I314" s="18">
        <v>1155.8499999999999</v>
      </c>
      <c r="J314" s="18"/>
      <c r="K314" s="18">
        <v>8944.42</v>
      </c>
      <c r="L314" s="19">
        <f>SUM(F314:K314)</f>
        <v>10323.59</v>
      </c>
      <c r="M314" s="8"/>
      <c r="N314" s="266"/>
    </row>
    <row r="315" spans="1:14" s="3" customFormat="1" ht="12.2" customHeight="1" x14ac:dyDescent="0.15">
      <c r="A315" s="1" t="s">
        <v>439</v>
      </c>
      <c r="B315" s="2" t="s">
        <v>359</v>
      </c>
      <c r="C315" s="2" t="s">
        <v>291</v>
      </c>
      <c r="D315" s="2" t="s">
        <v>431</v>
      </c>
      <c r="E315" s="6">
        <v>1200</v>
      </c>
      <c r="F315" s="18">
        <v>28832.01</v>
      </c>
      <c r="G315" s="18">
        <v>14180.71</v>
      </c>
      <c r="H315" s="18">
        <v>42196.57</v>
      </c>
      <c r="I315" s="18">
        <v>1120</v>
      </c>
      <c r="J315" s="18"/>
      <c r="K315" s="18"/>
      <c r="L315" s="19">
        <f>SUM(F315:K315)</f>
        <v>86329.290000000008</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v>7750</v>
      </c>
      <c r="G317" s="18">
        <v>592.92999999999995</v>
      </c>
      <c r="H317" s="18"/>
      <c r="I317" s="18">
        <v>110.2</v>
      </c>
      <c r="J317" s="18"/>
      <c r="K317" s="18">
        <v>6959.12</v>
      </c>
      <c r="L317" s="19">
        <f>SUM(F317:K317)</f>
        <v>15412.25</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1802.67</v>
      </c>
      <c r="G319" s="18">
        <v>406.39</v>
      </c>
      <c r="H319" s="18"/>
      <c r="I319" s="18">
        <v>1682.44</v>
      </c>
      <c r="J319" s="18"/>
      <c r="K319" s="18">
        <v>50159</v>
      </c>
      <c r="L319" s="19">
        <f t="shared" ref="L319:L325" si="16">SUM(F319:K319)</f>
        <v>54050.5</v>
      </c>
      <c r="M319" s="8"/>
      <c r="N319" s="266"/>
    </row>
    <row r="320" spans="1:14" s="3" customFormat="1" ht="12.2" customHeight="1" x14ac:dyDescent="0.15">
      <c r="A320" s="1" t="s">
        <v>443</v>
      </c>
      <c r="B320" s="2" t="s">
        <v>359</v>
      </c>
      <c r="C320" s="2" t="s">
        <v>295</v>
      </c>
      <c r="D320" s="2" t="s">
        <v>431</v>
      </c>
      <c r="E320" s="6">
        <v>2200</v>
      </c>
      <c r="F320" s="18"/>
      <c r="G320" s="18"/>
      <c r="H320" s="18">
        <v>4614.3999999999996</v>
      </c>
      <c r="I320" s="18">
        <v>10390.86</v>
      </c>
      <c r="J320" s="18"/>
      <c r="K320" s="18"/>
      <c r="L320" s="19">
        <f t="shared" si="16"/>
        <v>15005.26</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v>1678.2</v>
      </c>
      <c r="J322" s="18"/>
      <c r="K322" s="18"/>
      <c r="L322" s="19">
        <f t="shared" si="16"/>
        <v>1678.2</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v>4651.8500000000004</v>
      </c>
      <c r="I324" s="18">
        <v>1862.85</v>
      </c>
      <c r="J324" s="18"/>
      <c r="K324" s="18"/>
      <c r="L324" s="19">
        <f t="shared" si="16"/>
        <v>6514.7000000000007</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38563.319999999992</v>
      </c>
      <c r="G328" s="42">
        <f t="shared" si="17"/>
        <v>15224.71</v>
      </c>
      <c r="H328" s="42">
        <f t="shared" si="17"/>
        <v>51462.82</v>
      </c>
      <c r="I328" s="42">
        <f t="shared" si="17"/>
        <v>18000.400000000001</v>
      </c>
      <c r="J328" s="42">
        <f t="shared" si="17"/>
        <v>0</v>
      </c>
      <c r="K328" s="42">
        <f t="shared" si="17"/>
        <v>66062.540000000008</v>
      </c>
      <c r="L328" s="41">
        <f t="shared" si="17"/>
        <v>189313.79000000004</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416037.35</v>
      </c>
      <c r="G338" s="41">
        <f t="shared" si="20"/>
        <v>179937.53</v>
      </c>
      <c r="H338" s="41">
        <f t="shared" si="20"/>
        <v>206707.8</v>
      </c>
      <c r="I338" s="41">
        <f t="shared" si="20"/>
        <v>51061.780000000006</v>
      </c>
      <c r="J338" s="41">
        <f t="shared" si="20"/>
        <v>5412.24</v>
      </c>
      <c r="K338" s="41">
        <f t="shared" si="20"/>
        <v>73095.72</v>
      </c>
      <c r="L338" s="41">
        <f t="shared" si="20"/>
        <v>932252.41999999981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416037.35</v>
      </c>
      <c r="G352" s="41">
        <f>G338</f>
        <v>179937.53</v>
      </c>
      <c r="H352" s="41">
        <f>H338</f>
        <v>206707.8</v>
      </c>
      <c r="I352" s="41">
        <f>I338</f>
        <v>51061.780000000006</v>
      </c>
      <c r="J352" s="41">
        <f>J338</f>
        <v>5412.24</v>
      </c>
      <c r="K352" s="47">
        <f>K338+K351</f>
        <v>73095.72</v>
      </c>
      <c r="L352" s="41">
        <f>L338+L351</f>
        <v>932252.41999999981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216168.48</v>
      </c>
      <c r="G358" s="18">
        <v>55325.87</v>
      </c>
      <c r="H358" s="18">
        <v>8592.8700000000008</v>
      </c>
      <c r="I358" s="18">
        <v>236355.20000000001</v>
      </c>
      <c r="J358" s="18">
        <v>85174.48</v>
      </c>
      <c r="K358" s="18">
        <v>889.78</v>
      </c>
      <c r="L358" s="13">
        <f>SUM(F358:K358)</f>
        <v>602506.68000000005</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v>124009.74</v>
      </c>
      <c r="G360" s="18">
        <v>26035.71</v>
      </c>
      <c r="H360" s="18">
        <v>5484.49</v>
      </c>
      <c r="I360" s="18">
        <v>171810.13</v>
      </c>
      <c r="J360" s="18">
        <v>40082.11</v>
      </c>
      <c r="K360" s="18">
        <v>418.72</v>
      </c>
      <c r="L360" s="19">
        <f>SUM(F360:K360)</f>
        <v>367840.89999999997</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340178.22000000003</v>
      </c>
      <c r="G362" s="47">
        <f t="shared" si="22"/>
        <v>81361.58</v>
      </c>
      <c r="H362" s="47">
        <f t="shared" si="22"/>
        <v>14077.36</v>
      </c>
      <c r="I362" s="47">
        <f t="shared" si="22"/>
        <v>408165.33</v>
      </c>
      <c r="J362" s="47">
        <f t="shared" si="22"/>
        <v>125256.59</v>
      </c>
      <c r="K362" s="47">
        <f t="shared" si="22"/>
        <v>1308.5</v>
      </c>
      <c r="L362" s="47">
        <f t="shared" si="22"/>
        <v>970347.58000000007</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220285.54</v>
      </c>
      <c r="G367" s="18"/>
      <c r="H367" s="18">
        <v>162569.12</v>
      </c>
      <c r="I367" s="56">
        <f>SUM(F367:H367)</f>
        <v>382854.66000000003</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16069.66</v>
      </c>
      <c r="G368" s="63"/>
      <c r="H368" s="63">
        <v>9241.01</v>
      </c>
      <c r="I368" s="56">
        <f>SUM(F368:H368)</f>
        <v>25310.67</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236355.20000000001</v>
      </c>
      <c r="G369" s="47">
        <f>SUM(G367:G368)</f>
        <v>0</v>
      </c>
      <c r="H369" s="47">
        <f>SUM(H367:H368)</f>
        <v>171810.13</v>
      </c>
      <c r="I369" s="47">
        <f>SUM(I367:I368)</f>
        <v>408165.33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v>250729.94</v>
      </c>
      <c r="I375" s="18"/>
      <c r="J375" s="18"/>
      <c r="K375" s="18"/>
      <c r="L375" s="13">
        <f t="shared" ref="L375:L381" si="23">SUM(F375:K375)</f>
        <v>250729.94</v>
      </c>
      <c r="M375" s="8"/>
      <c r="N375" s="266"/>
    </row>
    <row r="376" spans="1:14" s="3" customFormat="1" ht="12.2" customHeight="1" x14ac:dyDescent="0.15">
      <c r="A376" s="1" t="s">
        <v>546</v>
      </c>
      <c r="B376" s="2" t="s">
        <v>366</v>
      </c>
      <c r="C376" s="2" t="s">
        <v>300</v>
      </c>
      <c r="D376" s="2" t="s">
        <v>431</v>
      </c>
      <c r="E376" s="6">
        <v>4300</v>
      </c>
      <c r="F376" s="18"/>
      <c r="G376" s="18"/>
      <c r="H376" s="18">
        <v>402683.83</v>
      </c>
      <c r="I376" s="18"/>
      <c r="J376" s="18"/>
      <c r="K376" s="18"/>
      <c r="L376" s="13">
        <f t="shared" si="23"/>
        <v>402683.83</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v>18129251.539999999</v>
      </c>
      <c r="I378" s="18"/>
      <c r="J378" s="18"/>
      <c r="K378" s="18"/>
      <c r="L378" s="13">
        <f t="shared" si="23"/>
        <v>18129251.539999999</v>
      </c>
      <c r="M378" s="8"/>
      <c r="N378" s="266"/>
    </row>
    <row r="379" spans="1:14" s="3" customFormat="1" ht="12.2" customHeight="1" x14ac:dyDescent="0.15">
      <c r="A379" s="1" t="s">
        <v>549</v>
      </c>
      <c r="B379" s="2" t="s">
        <v>366</v>
      </c>
      <c r="C379" s="2" t="s">
        <v>345</v>
      </c>
      <c r="D379" s="2" t="s">
        <v>431</v>
      </c>
      <c r="E379" s="6">
        <v>4600</v>
      </c>
      <c r="F379" s="18"/>
      <c r="G379" s="18"/>
      <c r="H379" s="18"/>
      <c r="I379" s="18"/>
      <c r="J379" s="18">
        <v>373582.15</v>
      </c>
      <c r="K379" s="18"/>
      <c r="L379" s="13">
        <f t="shared" si="23"/>
        <v>373582.15</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18782665.309999999</v>
      </c>
      <c r="I382" s="41">
        <f t="shared" si="24"/>
        <v>0</v>
      </c>
      <c r="J382" s="47">
        <f t="shared" si="24"/>
        <v>373582.15</v>
      </c>
      <c r="K382" s="47">
        <f t="shared" si="24"/>
        <v>0</v>
      </c>
      <c r="L382" s="47">
        <f t="shared" si="24"/>
        <v>19156247.459999997</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v>3.5</v>
      </c>
      <c r="I392" s="18"/>
      <c r="J392" s="24" t="s">
        <v>288</v>
      </c>
      <c r="K392" s="24" t="s">
        <v>288</v>
      </c>
      <c r="L392" s="56">
        <f t="shared" si="25"/>
        <v>3.5</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3.5</v>
      </c>
      <c r="I393" s="65">
        <f>SUM(I387:I392)</f>
        <v>0</v>
      </c>
      <c r="J393" s="45" t="s">
        <v>288</v>
      </c>
      <c r="K393" s="45" t="s">
        <v>288</v>
      </c>
      <c r="L393" s="47">
        <f>SUM(L387:L392)</f>
        <v>3.5</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39.83</v>
      </c>
      <c r="I396" s="18"/>
      <c r="J396" s="24" t="s">
        <v>288</v>
      </c>
      <c r="K396" s="24" t="s">
        <v>288</v>
      </c>
      <c r="L396" s="56">
        <f t="shared" si="26"/>
        <v>39.83</v>
      </c>
      <c r="M396" s="8"/>
      <c r="N396" s="266"/>
    </row>
    <row r="397" spans="1:14" s="3" customFormat="1" ht="12.2" customHeight="1" x14ac:dyDescent="0.15">
      <c r="A397" s="79" t="s">
        <v>515</v>
      </c>
      <c r="B397" s="2" t="s">
        <v>381</v>
      </c>
      <c r="C397" s="6">
        <v>10</v>
      </c>
      <c r="D397" s="2" t="s">
        <v>432</v>
      </c>
      <c r="E397" s="6"/>
      <c r="F397" s="18"/>
      <c r="G397" s="18">
        <v>100000</v>
      </c>
      <c r="H397" s="18">
        <v>9.5</v>
      </c>
      <c r="I397" s="18"/>
      <c r="J397" s="24" t="s">
        <v>288</v>
      </c>
      <c r="K397" s="24" t="s">
        <v>288</v>
      </c>
      <c r="L397" s="56">
        <f t="shared" si="26"/>
        <v>100009.5</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100000</v>
      </c>
      <c r="H401" s="47">
        <f>SUM(H395:H400)</f>
        <v>49.33</v>
      </c>
      <c r="I401" s="47">
        <f>SUM(I395:I400)</f>
        <v>0</v>
      </c>
      <c r="J401" s="45" t="s">
        <v>288</v>
      </c>
      <c r="K401" s="45" t="s">
        <v>288</v>
      </c>
      <c r="L401" s="47">
        <f>SUM(L395:L400)</f>
        <v>100049.33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100000</v>
      </c>
      <c r="H408" s="47">
        <f>H393+H401+H407</f>
        <v>52.83</v>
      </c>
      <c r="I408" s="47">
        <f>I393+I401+I407</f>
        <v>0</v>
      </c>
      <c r="J408" s="24" t="s">
        <v>288</v>
      </c>
      <c r="K408" s="24" t="s">
        <v>288</v>
      </c>
      <c r="L408" s="47">
        <f>L393+L401+L407</f>
        <v>100052.83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v>33500</v>
      </c>
      <c r="L422" s="56">
        <f t="shared" si="29"/>
        <v>33500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33500</v>
      </c>
      <c r="L427" s="47">
        <f t="shared" si="30"/>
        <v>33500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33500</v>
      </c>
      <c r="L434" s="47">
        <f t="shared" si="32"/>
        <v>33500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71055.19</v>
      </c>
      <c r="G439" s="18">
        <v>999597.2</v>
      </c>
      <c r="H439" s="18"/>
      <c r="I439" s="56">
        <f t="shared" ref="I439:I445" si="33">SUM(F439:H439)</f>
        <v>1070652.3899999999</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71055.19</v>
      </c>
      <c r="G446" s="13">
        <f>SUM(G439:G445)</f>
        <v>999597.2</v>
      </c>
      <c r="H446" s="13">
        <f>SUM(H439:H445)</f>
        <v>0</v>
      </c>
      <c r="I446" s="13">
        <f>SUM(I439:I445)</f>
        <v>1070652.3899999999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71055.19</v>
      </c>
      <c r="G459" s="18">
        <v>999597.2</v>
      </c>
      <c r="H459" s="18"/>
      <c r="I459" s="56">
        <f t="shared" si="34"/>
        <v>1070652.3899999999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71055.19</v>
      </c>
      <c r="G460" s="83">
        <f>SUM(G454:G459)</f>
        <v>999597.2</v>
      </c>
      <c r="H460" s="83">
        <f>SUM(H454:H459)</f>
        <v>0</v>
      </c>
      <c r="I460" s="83">
        <f>SUM(I454:I459)</f>
        <v>1070652.3899999999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71055.19</v>
      </c>
      <c r="G461" s="42">
        <f>G452+G460</f>
        <v>999597.2</v>
      </c>
      <c r="H461" s="42">
        <f>H452+H460</f>
        <v>0</v>
      </c>
      <c r="I461" s="42">
        <f>I452+I460</f>
        <v>1070652.3899999999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2351179.48</v>
      </c>
      <c r="G465" s="18">
        <v>234527.16</v>
      </c>
      <c r="H465" s="18">
        <v>173169.79</v>
      </c>
      <c r="I465" s="18">
        <v>27031296.43</v>
      </c>
      <c r="J465" s="18">
        <v>1004099.56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52085694.5</v>
      </c>
      <c r="G468" s="18">
        <v>837030.16</v>
      </c>
      <c r="H468" s="18">
        <v>1165876.48</v>
      </c>
      <c r="I468" s="18">
        <v>313981.65000000002</v>
      </c>
      <c r="J468" s="18">
        <v>100052.83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52085694.5</v>
      </c>
      <c r="G470" s="53">
        <f>SUM(G468:G469)</f>
        <v>837030.16</v>
      </c>
      <c r="H470" s="53">
        <f>SUM(H468:H469)</f>
        <v>1165876.48</v>
      </c>
      <c r="I470" s="53">
        <f>SUM(I468:I469)</f>
        <v>313981.65000000002</v>
      </c>
      <c r="J470" s="53">
        <f>SUM(J468:J469)</f>
        <v>100052.83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51679495.93</v>
      </c>
      <c r="G472" s="18">
        <v>970347.58</v>
      </c>
      <c r="H472" s="18">
        <v>932252.42</v>
      </c>
      <c r="I472" s="18">
        <v>19156247.460000001</v>
      </c>
      <c r="J472" s="18">
        <v>33500</v>
      </c>
      <c r="K472" s="24" t="s">
        <v>288</v>
      </c>
      <c r="L472" s="24" t="s">
        <v>288</v>
      </c>
      <c r="N472" s="265"/>
    </row>
    <row r="473" spans="1:14" s="52" customFormat="1" ht="12.2" customHeight="1" x14ac:dyDescent="0.2">
      <c r="A473" s="93" t="s">
        <v>613</v>
      </c>
      <c r="B473" s="75">
        <v>19</v>
      </c>
      <c r="C473" s="80">
        <v>6</v>
      </c>
      <c r="D473" s="2" t="s">
        <v>432</v>
      </c>
      <c r="E473" s="80"/>
      <c r="F473" s="18"/>
      <c r="G473" s="18"/>
      <c r="H473" s="18">
        <v>189</v>
      </c>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51679495.93</v>
      </c>
      <c r="G474" s="53">
        <f>SUM(G472:G473)</f>
        <v>970347.58</v>
      </c>
      <c r="H474" s="53">
        <f>SUM(H472:H473)</f>
        <v>932441.42</v>
      </c>
      <c r="I474" s="53">
        <f>SUM(I472:I473)</f>
        <v>19156247.460000001</v>
      </c>
      <c r="J474" s="53">
        <f>SUM(J472:J473)</f>
        <v>33500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2757378.049999997</v>
      </c>
      <c r="G476" s="53">
        <f>(G465+G470)- G474</f>
        <v>101209.74000000011</v>
      </c>
      <c r="H476" s="53">
        <f>(H465+H470)- H474</f>
        <v>406604.85</v>
      </c>
      <c r="I476" s="53">
        <f>(I465+I470)- I474</f>
        <v>8189030.6199999973</v>
      </c>
      <c r="J476" s="53">
        <f>(J465+J470)- J474</f>
        <v>1070652.3900000001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11</v>
      </c>
      <c r="G490" s="154">
        <v>20</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t="s">
        <v>1612</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t="s">
        <v>1613</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19305000</v>
      </c>
      <c r="G493" s="18">
        <v>38107102</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3</v>
      </c>
      <c r="G494" s="18">
        <v>2.67</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v>32305000</v>
      </c>
      <c r="H495" s="18"/>
      <c r="I495" s="18"/>
      <c r="J495" s="18"/>
      <c r="K495" s="53">
        <f>SUM(F495:J495)</f>
        <v>32305000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1700000</v>
      </c>
      <c r="G497" s="18">
        <v>1707800</v>
      </c>
      <c r="H497" s="18"/>
      <c r="I497" s="18"/>
      <c r="J497" s="18"/>
      <c r="K497" s="53">
        <f t="shared" si="35"/>
        <v>3407800</v>
      </c>
      <c r="L497" s="24" t="s">
        <v>288</v>
      </c>
      <c r="N497" s="265"/>
    </row>
    <row r="498" spans="1:14" s="52" customFormat="1" ht="12.2" customHeight="1" x14ac:dyDescent="0.2">
      <c r="A498" s="200" t="s">
        <v>622</v>
      </c>
      <c r="B498" s="201">
        <v>20</v>
      </c>
      <c r="C498" s="202">
        <v>9</v>
      </c>
      <c r="D498" s="203" t="s">
        <v>432</v>
      </c>
      <c r="E498" s="202"/>
      <c r="F498" s="204">
        <v>11900000</v>
      </c>
      <c r="G498" s="204">
        <v>32305000</v>
      </c>
      <c r="H498" s="204"/>
      <c r="I498" s="204"/>
      <c r="J498" s="204"/>
      <c r="K498" s="205">
        <f t="shared" si="35"/>
        <v>44205000</v>
      </c>
      <c r="L498" s="206" t="s">
        <v>288</v>
      </c>
      <c r="N498" s="265"/>
    </row>
    <row r="499" spans="1:14" s="52" customFormat="1" ht="12.2" customHeight="1" thickBot="1" x14ac:dyDescent="0.25">
      <c r="A499" s="22" t="s">
        <v>623</v>
      </c>
      <c r="B499" s="75">
        <v>20</v>
      </c>
      <c r="C499" s="115">
        <v>10</v>
      </c>
      <c r="D499" s="2" t="s">
        <v>432</v>
      </c>
      <c r="E499" s="115"/>
      <c r="F499" s="18">
        <v>1627750</v>
      </c>
      <c r="G499" s="18">
        <v>12028447.5</v>
      </c>
      <c r="H499" s="18"/>
      <c r="I499" s="18"/>
      <c r="J499" s="18"/>
      <c r="K499" s="53">
        <f t="shared" si="35"/>
        <v>13656197.5</v>
      </c>
      <c r="L499" s="24" t="s">
        <v>288</v>
      </c>
      <c r="N499" s="265"/>
    </row>
    <row r="500" spans="1:14" s="52" customFormat="1" ht="12.2" customHeight="1" thickTop="1" x14ac:dyDescent="0.2">
      <c r="A500" s="139" t="s">
        <v>624</v>
      </c>
      <c r="B500" s="44">
        <v>20</v>
      </c>
      <c r="C500" s="195">
        <v>11</v>
      </c>
      <c r="D500" s="39" t="s">
        <v>432</v>
      </c>
      <c r="E500" s="195"/>
      <c r="F500" s="42">
        <f>SUM(F498:F499)</f>
        <v>13527750</v>
      </c>
      <c r="G500" s="42">
        <f>SUM(G498:G499)</f>
        <v>44333447.5</v>
      </c>
      <c r="H500" s="42">
        <f>SUM(H498:H499)</f>
        <v>0</v>
      </c>
      <c r="I500" s="42">
        <f>SUM(I498:I499)</f>
        <v>0</v>
      </c>
      <c r="J500" s="42">
        <f>SUM(J498:J499)</f>
        <v>0</v>
      </c>
      <c r="K500" s="42">
        <f t="shared" si="35"/>
        <v>57861197.5</v>
      </c>
      <c r="L500" s="45" t="s">
        <v>288</v>
      </c>
      <c r="N500" s="265"/>
    </row>
    <row r="501" spans="1:14" s="52" customFormat="1" ht="12.2" customHeight="1" x14ac:dyDescent="0.2">
      <c r="A501" s="200" t="s">
        <v>651</v>
      </c>
      <c r="B501" s="201">
        <v>20</v>
      </c>
      <c r="C501" s="202">
        <v>12</v>
      </c>
      <c r="D501" s="203" t="s">
        <v>432</v>
      </c>
      <c r="E501" s="202"/>
      <c r="F501" s="204">
        <v>1700000</v>
      </c>
      <c r="G501" s="204">
        <v>1705000</v>
      </c>
      <c r="H501" s="204"/>
      <c r="I501" s="204"/>
      <c r="J501" s="204"/>
      <c r="K501" s="205">
        <f t="shared" si="35"/>
        <v>3405000</v>
      </c>
      <c r="L501" s="206" t="s">
        <v>288</v>
      </c>
      <c r="N501" s="265"/>
    </row>
    <row r="502" spans="1:14" s="52" customFormat="1" ht="12.2" customHeight="1" thickBot="1" x14ac:dyDescent="0.25">
      <c r="A502" s="22" t="s">
        <v>625</v>
      </c>
      <c r="B502" s="75">
        <v>20</v>
      </c>
      <c r="C502" s="115">
        <v>13</v>
      </c>
      <c r="D502" s="2" t="s">
        <v>432</v>
      </c>
      <c r="E502" s="115"/>
      <c r="F502" s="18">
        <v>391000</v>
      </c>
      <c r="G502" s="18">
        <v>1366077.5</v>
      </c>
      <c r="H502" s="18"/>
      <c r="I502" s="18"/>
      <c r="J502" s="18"/>
      <c r="K502" s="53">
        <f t="shared" si="35"/>
        <v>1757077.5</v>
      </c>
      <c r="L502" s="24" t="s">
        <v>288</v>
      </c>
      <c r="N502" s="265"/>
    </row>
    <row r="503" spans="1:14" s="52" customFormat="1" ht="12.2" customHeight="1" thickTop="1" x14ac:dyDescent="0.2">
      <c r="A503" s="139" t="s">
        <v>626</v>
      </c>
      <c r="B503" s="44">
        <v>20</v>
      </c>
      <c r="C503" s="195">
        <v>14</v>
      </c>
      <c r="D503" s="39" t="s">
        <v>432</v>
      </c>
      <c r="E503" s="195"/>
      <c r="F503" s="42">
        <f>SUM(F501:F502)</f>
        <v>2091000</v>
      </c>
      <c r="G503" s="42">
        <f>SUM(G501:G502)</f>
        <v>3071077.5</v>
      </c>
      <c r="H503" s="42">
        <f>SUM(H501:H502)</f>
        <v>0</v>
      </c>
      <c r="I503" s="42">
        <f>SUM(I501:I502)</f>
        <v>0</v>
      </c>
      <c r="J503" s="42">
        <f>SUM(J501:J502)</f>
        <v>0</v>
      </c>
      <c r="K503" s="42">
        <f t="shared" si="35"/>
        <v>5162077.5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3083133.13</v>
      </c>
      <c r="G521" s="18">
        <v>1561982.05</v>
      </c>
      <c r="H521" s="18">
        <v>902166.14</v>
      </c>
      <c r="I521" s="18">
        <v>30900.880000000001</v>
      </c>
      <c r="J521" s="18">
        <v>11802.53</v>
      </c>
      <c r="K521" s="18">
        <v>7321.19</v>
      </c>
      <c r="L521" s="88">
        <f>SUM(F521:K521)</f>
        <v>5597305.9199999999</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858509.86</v>
      </c>
      <c r="G523" s="18">
        <v>643894.75</v>
      </c>
      <c r="H523" s="18">
        <v>1126051.32</v>
      </c>
      <c r="I523" s="18">
        <v>8947.18</v>
      </c>
      <c r="J523" s="18">
        <v>6386.49</v>
      </c>
      <c r="K523" s="18">
        <v>3445.27</v>
      </c>
      <c r="L523" s="88">
        <f>SUM(F523:K523)</f>
        <v>2647234.87</v>
      </c>
      <c r="N523" s="265"/>
    </row>
    <row r="524" spans="1:14" s="52" customFormat="1" ht="12.2" customHeight="1" thickTop="1" x14ac:dyDescent="0.2">
      <c r="A524" s="139" t="s">
        <v>63</v>
      </c>
      <c r="B524" s="107">
        <v>21</v>
      </c>
      <c r="C524" s="195">
        <v>4</v>
      </c>
      <c r="D524" s="196" t="s">
        <v>432</v>
      </c>
      <c r="E524" s="195"/>
      <c r="F524" s="108">
        <f>SUM(F521:F523)</f>
        <v>3941642.9899999998</v>
      </c>
      <c r="G524" s="108">
        <f t="shared" ref="G524:L524" si="36">SUM(G521:G523)</f>
        <v>2205876.7999999998</v>
      </c>
      <c r="H524" s="108">
        <f t="shared" si="36"/>
        <v>2028217.46</v>
      </c>
      <c r="I524" s="108">
        <f t="shared" si="36"/>
        <v>39848.06</v>
      </c>
      <c r="J524" s="108">
        <f t="shared" si="36"/>
        <v>18189.02</v>
      </c>
      <c r="K524" s="108">
        <f t="shared" si="36"/>
        <v>10766.46</v>
      </c>
      <c r="L524" s="89">
        <f t="shared" si="36"/>
        <v>8244540.79</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1040243.23</v>
      </c>
      <c r="G526" s="18">
        <v>510571.77</v>
      </c>
      <c r="H526" s="18">
        <v>262312.02</v>
      </c>
      <c r="I526" s="18">
        <v>14297.57</v>
      </c>
      <c r="J526" s="18">
        <v>9461.1200000000008</v>
      </c>
      <c r="K526" s="18">
        <v>624.91999999999996</v>
      </c>
      <c r="L526" s="88">
        <f>SUM(F526:K526)</f>
        <v>1837510.6300000001</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v>174806.69</v>
      </c>
      <c r="G528" s="18">
        <v>77159.55</v>
      </c>
      <c r="H528" s="18">
        <v>123440.95</v>
      </c>
      <c r="I528" s="18">
        <v>5774.93</v>
      </c>
      <c r="J528" s="18">
        <v>1963.83</v>
      </c>
      <c r="K528" s="18">
        <v>294.08</v>
      </c>
      <c r="L528" s="88">
        <f>SUM(F528:K528)</f>
        <v>383440.03</v>
      </c>
      <c r="M528" s="8"/>
      <c r="N528" s="266"/>
    </row>
    <row r="529" spans="1:14" s="3" customFormat="1" ht="12.2" customHeight="1" thickTop="1" x14ac:dyDescent="0.15">
      <c r="A529" s="139" t="s">
        <v>65</v>
      </c>
      <c r="B529" s="107">
        <v>21</v>
      </c>
      <c r="C529" s="107">
        <v>8</v>
      </c>
      <c r="D529" s="158" t="s">
        <v>432</v>
      </c>
      <c r="E529" s="107"/>
      <c r="F529" s="89">
        <f>SUM(F526:F528)</f>
        <v>1215049.92</v>
      </c>
      <c r="G529" s="89">
        <f t="shared" ref="G529:L529" si="37">SUM(G526:G528)</f>
        <v>587731.32000000007</v>
      </c>
      <c r="H529" s="89">
        <f t="shared" si="37"/>
        <v>385752.97000000003</v>
      </c>
      <c r="I529" s="89">
        <f t="shared" si="37"/>
        <v>20072.5</v>
      </c>
      <c r="J529" s="89">
        <f t="shared" si="37"/>
        <v>11424.95</v>
      </c>
      <c r="K529" s="89">
        <f t="shared" si="37"/>
        <v>919</v>
      </c>
      <c r="L529" s="89">
        <f t="shared" si="37"/>
        <v>2220950.66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408453</v>
      </c>
      <c r="G531" s="18">
        <v>231674.67</v>
      </c>
      <c r="H531" s="18">
        <v>3216.48</v>
      </c>
      <c r="I531" s="18">
        <v>409.6</v>
      </c>
      <c r="J531" s="18"/>
      <c r="K531" s="18">
        <v>972.4</v>
      </c>
      <c r="L531" s="88">
        <f>SUM(F531:K531)</f>
        <v>644726.15</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v>192097.82</v>
      </c>
      <c r="G533" s="18">
        <v>33935.15</v>
      </c>
      <c r="H533" s="18">
        <v>1513.64</v>
      </c>
      <c r="I533" s="18">
        <v>192.75</v>
      </c>
      <c r="J533" s="18"/>
      <c r="K533" s="18">
        <v>457.6</v>
      </c>
      <c r="L533" s="88">
        <f>SUM(F533:K533)</f>
        <v>228196.96000000002</v>
      </c>
      <c r="M533" s="8"/>
      <c r="N533" s="266"/>
    </row>
    <row r="534" spans="1:14" s="3" customFormat="1" ht="12.2" customHeight="1" thickTop="1" x14ac:dyDescent="0.15">
      <c r="A534" s="139" t="s">
        <v>67</v>
      </c>
      <c r="B534" s="107">
        <v>21</v>
      </c>
      <c r="C534" s="107">
        <v>12</v>
      </c>
      <c r="D534" s="158" t="s">
        <v>432</v>
      </c>
      <c r="E534" s="107"/>
      <c r="F534" s="89">
        <f>SUM(F531:F533)</f>
        <v>600550.82000000007</v>
      </c>
      <c r="G534" s="89">
        <f t="shared" ref="G534:L534" si="38">SUM(G531:G533)</f>
        <v>265609.82</v>
      </c>
      <c r="H534" s="89">
        <f t="shared" si="38"/>
        <v>4730.12</v>
      </c>
      <c r="I534" s="89">
        <f t="shared" si="38"/>
        <v>602.35</v>
      </c>
      <c r="J534" s="89">
        <f t="shared" si="38"/>
        <v>0</v>
      </c>
      <c r="K534" s="89">
        <f t="shared" si="38"/>
        <v>1430</v>
      </c>
      <c r="L534" s="89">
        <f t="shared" si="38"/>
        <v>872923.1100000001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19533.25</v>
      </c>
      <c r="I536" s="18"/>
      <c r="J536" s="18"/>
      <c r="K536" s="18"/>
      <c r="L536" s="88">
        <f>SUM(F536:K536)</f>
        <v>19533.25</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v>9192.1200000000008</v>
      </c>
      <c r="I538" s="18"/>
      <c r="J538" s="18"/>
      <c r="K538" s="18"/>
      <c r="L538" s="88">
        <f>SUM(F538:K538)</f>
        <v>9192.1200000000008</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28725.370000000003</v>
      </c>
      <c r="I539" s="89">
        <f t="shared" si="39"/>
        <v>0</v>
      </c>
      <c r="J539" s="89">
        <f t="shared" si="39"/>
        <v>0</v>
      </c>
      <c r="K539" s="89">
        <f t="shared" si="39"/>
        <v>0</v>
      </c>
      <c r="L539" s="89">
        <f t="shared" si="39"/>
        <v>28725.370000000003</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404419.25</v>
      </c>
      <c r="I541" s="18"/>
      <c r="J541" s="18"/>
      <c r="K541" s="18"/>
      <c r="L541" s="88">
        <f>SUM(F541:K541)</f>
        <v>404419.25</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190314.94</v>
      </c>
      <c r="I543" s="18"/>
      <c r="J543" s="18"/>
      <c r="K543" s="18"/>
      <c r="L543" s="88">
        <f>SUM(F543:K543)</f>
        <v>190314.94</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594734.18999999994</v>
      </c>
      <c r="I544" s="193">
        <f t="shared" si="40"/>
        <v>0</v>
      </c>
      <c r="J544" s="193">
        <f t="shared" si="40"/>
        <v>0</v>
      </c>
      <c r="K544" s="193">
        <f t="shared" si="40"/>
        <v>0</v>
      </c>
      <c r="L544" s="193">
        <f t="shared" si="40"/>
        <v>594734.18999999994</v>
      </c>
      <c r="M544" s="8"/>
      <c r="N544" s="266"/>
    </row>
    <row r="545" spans="1:14" s="3" customFormat="1" ht="12.2" customHeight="1" thickTop="1" x14ac:dyDescent="0.15">
      <c r="A545" s="98" t="s">
        <v>72</v>
      </c>
      <c r="B545" s="107">
        <v>21</v>
      </c>
      <c r="C545" s="107">
        <v>21</v>
      </c>
      <c r="D545" s="158" t="s">
        <v>432</v>
      </c>
      <c r="E545" s="107"/>
      <c r="F545" s="89">
        <f>F524+F529+F534+F539+F544</f>
        <v>5757243.7300000004</v>
      </c>
      <c r="G545" s="89">
        <f t="shared" ref="G545:L545" si="41">G524+G529+G534+G539+G544</f>
        <v>3059217.94</v>
      </c>
      <c r="H545" s="89">
        <f t="shared" si="41"/>
        <v>3042160.1100000003</v>
      </c>
      <c r="I545" s="89">
        <f t="shared" si="41"/>
        <v>60522.909999999996</v>
      </c>
      <c r="J545" s="89">
        <f t="shared" si="41"/>
        <v>29613.97</v>
      </c>
      <c r="K545" s="89">
        <f t="shared" si="41"/>
        <v>13115.46</v>
      </c>
      <c r="L545" s="89">
        <f t="shared" si="41"/>
        <v>11961874.119999997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5597305.9199999999</v>
      </c>
      <c r="G549" s="87">
        <f>L526</f>
        <v>1837510.6300000001</v>
      </c>
      <c r="H549" s="87">
        <f>L531</f>
        <v>644726.15</v>
      </c>
      <c r="I549" s="87">
        <f>L536</f>
        <v>19533.25</v>
      </c>
      <c r="J549" s="87">
        <f>L541</f>
        <v>404419.25</v>
      </c>
      <c r="K549" s="87">
        <f>SUM(F549:J549)</f>
        <v>8503495.1999999993</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2647234.87</v>
      </c>
      <c r="G551" s="87">
        <f>L528</f>
        <v>383440.03</v>
      </c>
      <c r="H551" s="87">
        <f>L533</f>
        <v>228196.96000000002</v>
      </c>
      <c r="I551" s="87">
        <f>L538</f>
        <v>9192.1200000000008</v>
      </c>
      <c r="J551" s="87">
        <f>L543</f>
        <v>190314.94</v>
      </c>
      <c r="K551" s="87">
        <f>SUM(F551:J551)</f>
        <v>3458378.9200000004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8244540.79</v>
      </c>
      <c r="G552" s="89">
        <f t="shared" si="42"/>
        <v>2220950.66</v>
      </c>
      <c r="H552" s="89">
        <f t="shared" si="42"/>
        <v>872923.1100000001</v>
      </c>
      <c r="I552" s="89">
        <f t="shared" si="42"/>
        <v>28725.370000000003</v>
      </c>
      <c r="J552" s="89">
        <f t="shared" si="42"/>
        <v>594734.18999999994</v>
      </c>
      <c r="K552" s="89">
        <f t="shared" si="42"/>
        <v>11961874.119999999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150760.62</v>
      </c>
      <c r="G562" s="18">
        <v>279.95999999999998</v>
      </c>
      <c r="H562" s="18">
        <v>541.01</v>
      </c>
      <c r="I562" s="18">
        <v>374.68</v>
      </c>
      <c r="J562" s="18"/>
      <c r="K562" s="18"/>
      <c r="L562" s="88">
        <f>SUM(F562:K562)</f>
        <v>151956.26999999999</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v>178.64</v>
      </c>
      <c r="G564" s="18">
        <v>44.68</v>
      </c>
      <c r="H564" s="18"/>
      <c r="I564" s="18"/>
      <c r="J564" s="18"/>
      <c r="K564" s="18"/>
      <c r="L564" s="88">
        <f>SUM(F564:K564)</f>
        <v>223.32</v>
      </c>
      <c r="M564" s="8"/>
      <c r="N564" s="266"/>
    </row>
    <row r="565" spans="1:14" s="3" customFormat="1" ht="12.2" customHeight="1" thickTop="1" x14ac:dyDescent="0.15">
      <c r="A565" s="139" t="s">
        <v>65</v>
      </c>
      <c r="B565" s="107">
        <v>22</v>
      </c>
      <c r="C565" s="107">
        <v>8</v>
      </c>
      <c r="D565" s="196" t="s">
        <v>432</v>
      </c>
      <c r="E565" s="107"/>
      <c r="F565" s="89">
        <f t="shared" ref="F565:L565" si="44">SUM(F562:F564)</f>
        <v>150939.26</v>
      </c>
      <c r="G565" s="89">
        <f t="shared" si="44"/>
        <v>324.64</v>
      </c>
      <c r="H565" s="89">
        <f t="shared" si="44"/>
        <v>541.01</v>
      </c>
      <c r="I565" s="89">
        <f t="shared" si="44"/>
        <v>374.68</v>
      </c>
      <c r="J565" s="89">
        <f t="shared" si="44"/>
        <v>0</v>
      </c>
      <c r="K565" s="89">
        <f t="shared" si="44"/>
        <v>0</v>
      </c>
      <c r="L565" s="89">
        <f t="shared" si="44"/>
        <v>152179.59</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150939.26</v>
      </c>
      <c r="G571" s="89">
        <f t="shared" ref="G571:L571" si="46">G560+G565+G570</f>
        <v>324.64</v>
      </c>
      <c r="H571" s="89">
        <f t="shared" si="46"/>
        <v>541.01</v>
      </c>
      <c r="I571" s="89">
        <f t="shared" si="46"/>
        <v>374.68</v>
      </c>
      <c r="J571" s="89">
        <f t="shared" si="46"/>
        <v>0</v>
      </c>
      <c r="K571" s="89">
        <f t="shared" si="46"/>
        <v>0</v>
      </c>
      <c r="L571" s="89">
        <f t="shared" si="46"/>
        <v>152179.59</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449787.98</v>
      </c>
      <c r="G582" s="18"/>
      <c r="H582" s="18">
        <v>688906.98</v>
      </c>
      <c r="I582" s="87">
        <f t="shared" si="47"/>
        <v>1138694.96</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v>214692.92</v>
      </c>
      <c r="I583" s="87">
        <f t="shared" si="47"/>
        <v>214692.92</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126082.42</v>
      </c>
      <c r="I584" s="87">
        <f t="shared" si="47"/>
        <v>126082.42</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1090575.5</v>
      </c>
      <c r="I591" s="18"/>
      <c r="J591" s="18">
        <v>513212</v>
      </c>
      <c r="K591" s="104">
        <f t="shared" ref="K591:K597" si="48">SUM(H591:J591)</f>
        <v>1603787.5</v>
      </c>
      <c r="L591" s="24" t="s">
        <v>288</v>
      </c>
      <c r="M591" s="8"/>
      <c r="N591" s="266"/>
    </row>
    <row r="592" spans="1:14" s="3" customFormat="1" ht="12.2" customHeight="1" x14ac:dyDescent="0.15">
      <c r="A592" s="3" t="s">
        <v>638</v>
      </c>
      <c r="B592" s="75">
        <v>23</v>
      </c>
      <c r="C592" s="75">
        <v>2</v>
      </c>
      <c r="D592" s="2" t="s">
        <v>432</v>
      </c>
      <c r="E592" s="75"/>
      <c r="F592" s="102">
        <v>2722</v>
      </c>
      <c r="G592" s="103" t="s">
        <v>97</v>
      </c>
      <c r="H592" s="18">
        <v>404419.24</v>
      </c>
      <c r="I592" s="18"/>
      <c r="J592" s="18">
        <v>190314.94</v>
      </c>
      <c r="K592" s="104">
        <f t="shared" si="48"/>
        <v>594734.17999999993</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185335</v>
      </c>
      <c r="K593" s="104">
        <f t="shared" si="48"/>
        <v>185335</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23013.43</v>
      </c>
      <c r="I594" s="18"/>
      <c r="J594" s="18">
        <v>104447.08</v>
      </c>
      <c r="K594" s="104">
        <f t="shared" si="48"/>
        <v>127460.51000000001</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5929.47</v>
      </c>
      <c r="I595" s="18"/>
      <c r="J595" s="18">
        <v>10103.93</v>
      </c>
      <c r="K595" s="104">
        <f t="shared" si="48"/>
        <v>16033.400000000001</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7158.29</v>
      </c>
      <c r="I597" s="18"/>
      <c r="J597" s="18">
        <v>3368.61</v>
      </c>
      <c r="K597" s="104">
        <f t="shared" si="48"/>
        <v>10526.9</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1531095.93</v>
      </c>
      <c r="I598" s="108">
        <f>SUM(I591:I597)</f>
        <v>0</v>
      </c>
      <c r="J598" s="108">
        <f>SUM(J591:J597)</f>
        <v>1006781.5599999999</v>
      </c>
      <c r="K598" s="108">
        <f>SUM(K591:K597)</f>
        <v>2537877.4899999993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374806.65</v>
      </c>
      <c r="I604" s="18"/>
      <c r="J604" s="18">
        <v>546578.52</v>
      </c>
      <c r="K604" s="104">
        <f>SUM(H604:J604)</f>
        <v>921385.17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374806.65</v>
      </c>
      <c r="I605" s="108">
        <f>SUM(I602:I604)</f>
        <v>0</v>
      </c>
      <c r="J605" s="108">
        <f>SUM(J602:J604)</f>
        <v>546578.52</v>
      </c>
      <c r="K605" s="108">
        <f>SUM(K602:K604)</f>
        <v>921385.17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107579.22</v>
      </c>
      <c r="G611" s="18">
        <v>20102.150000000001</v>
      </c>
      <c r="H611" s="18">
        <v>29120.73</v>
      </c>
      <c r="I611" s="18">
        <v>335.29</v>
      </c>
      <c r="J611" s="18"/>
      <c r="K611" s="18"/>
      <c r="L611" s="88">
        <f>SUM(F611:K611)</f>
        <v>157137.39000000001</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v>50625.52</v>
      </c>
      <c r="G613" s="18">
        <v>9459.83</v>
      </c>
      <c r="H613" s="18">
        <v>13703.88</v>
      </c>
      <c r="I613" s="18">
        <v>157.78</v>
      </c>
      <c r="J613" s="18"/>
      <c r="K613" s="18"/>
      <c r="L613" s="88">
        <f>SUM(F613:K613)</f>
        <v>73947.009999999995</v>
      </c>
      <c r="M613" s="8"/>
      <c r="N613" s="266"/>
    </row>
    <row r="614" spans="1:14" s="3" customFormat="1" ht="12.2" customHeight="1" thickTop="1" x14ac:dyDescent="0.15">
      <c r="A614" s="98" t="s">
        <v>340</v>
      </c>
      <c r="B614" s="107">
        <v>23</v>
      </c>
      <c r="C614" s="107">
        <v>16</v>
      </c>
      <c r="D614" s="39" t="s">
        <v>432</v>
      </c>
      <c r="E614" s="107"/>
      <c r="F614" s="108">
        <f t="shared" ref="F614:L614" si="49">SUM(F611:F613)</f>
        <v>158204.74</v>
      </c>
      <c r="G614" s="108">
        <f t="shared" si="49"/>
        <v>29561.980000000003</v>
      </c>
      <c r="H614" s="108">
        <f t="shared" si="49"/>
        <v>42824.61</v>
      </c>
      <c r="I614" s="108">
        <f t="shared" si="49"/>
        <v>493.07000000000005</v>
      </c>
      <c r="J614" s="108">
        <f t="shared" si="49"/>
        <v>0</v>
      </c>
      <c r="K614" s="108">
        <f t="shared" si="49"/>
        <v>0</v>
      </c>
      <c r="L614" s="89">
        <f t="shared" si="49"/>
        <v>231084.40000000002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5180877.3500000006</v>
      </c>
      <c r="H617" s="109">
        <f>SUM(F52)</f>
        <v>5180877.3499999996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140457.82</v>
      </c>
      <c r="H618" s="109">
        <f>SUM(G52)</f>
        <v>140457.82</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536576.47</v>
      </c>
      <c r="H619" s="109">
        <f>SUM(H52)</f>
        <v>536576.47</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9274496.3800000008</v>
      </c>
      <c r="H620" s="109">
        <f>SUM(I52)</f>
        <v>9274496.3800000008</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1070652.3899999999</v>
      </c>
      <c r="H621" s="109">
        <f>SUM(J52)</f>
        <v>1070652.3899999999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2757378.05</v>
      </c>
      <c r="H622" s="109">
        <f>F476</f>
        <v>2757378.049999997</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101209.74</v>
      </c>
      <c r="H623" s="109">
        <f>G476</f>
        <v>101209.74000000011</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406604.85</v>
      </c>
      <c r="H624" s="109">
        <f>H476</f>
        <v>406604.85</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8189030.6200000001</v>
      </c>
      <c r="H625" s="109">
        <f>I476</f>
        <v>8189030.6199999973</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1070652.3899999999</v>
      </c>
      <c r="H626" s="109">
        <f>J476</f>
        <v>1070652.3900000001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52085694.5</v>
      </c>
      <c r="H627" s="104">
        <f>SUM(F468)</f>
        <v>52085694.5</v>
      </c>
      <c r="I627" s="140" t="s">
        <v>106</v>
      </c>
      <c r="J627" s="109">
        <f>G627-H627</f>
        <v>0</v>
      </c>
      <c r="K627" s="85"/>
      <c r="L627" s="88"/>
      <c r="M627" s="8"/>
    </row>
    <row r="628" spans="1:13" s="3" customFormat="1" ht="12.2" customHeight="1" x14ac:dyDescent="0.15">
      <c r="A628" s="22"/>
      <c r="B628" s="105"/>
      <c r="C628" s="105"/>
      <c r="D628" s="105"/>
      <c r="E628" s="105"/>
      <c r="F628" s="120" t="s">
        <v>659</v>
      </c>
      <c r="G628" s="109">
        <f>G193</f>
        <v>837030.16</v>
      </c>
      <c r="H628" s="104">
        <f>SUM(G468)</f>
        <v>837030.16</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1165876.48</v>
      </c>
      <c r="H629" s="104">
        <f>SUM(H468)</f>
        <v>1165876.48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313981.65000000002</v>
      </c>
      <c r="H630" s="104">
        <f>SUM(I468)</f>
        <v>313981.65000000002</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100052.83</v>
      </c>
      <c r="H631" s="104">
        <f>SUM(J468)</f>
        <v>100052.83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51679495.930000007</v>
      </c>
      <c r="H632" s="104">
        <f>SUM(F472)</f>
        <v>51679495.93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932252.41999999981</v>
      </c>
      <c r="H633" s="104">
        <f>SUM(H472)</f>
        <v>932252.42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408165.33</v>
      </c>
      <c r="H634" s="104">
        <f>I369</f>
        <v>408165.33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970347.58000000007</v>
      </c>
      <c r="H635" s="104">
        <f>SUM(G472)</f>
        <v>970347.58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19156247.459999997</v>
      </c>
      <c r="H636" s="104">
        <f>SUM(I472)</f>
        <v>19156247.460000001</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100052.83</v>
      </c>
      <c r="H637" s="164">
        <f>SUM(J468)</f>
        <v>100052.83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33500</v>
      </c>
      <c r="H638" s="164">
        <f>SUM(J472)</f>
        <v>33500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71055.19</v>
      </c>
      <c r="H639" s="104">
        <f>SUM(F461)</f>
        <v>71055.19</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999597.2</v>
      </c>
      <c r="H640" s="104">
        <f>SUM(G461)</f>
        <v>999597.2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1070652.3899999999</v>
      </c>
      <c r="H642" s="104">
        <f>SUM(I461)</f>
        <v>1070652.3899999999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52.83</v>
      </c>
      <c r="H644" s="104">
        <f>H408</f>
        <v>52.83</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100000</v>
      </c>
      <c r="H645" s="104">
        <f>G408</f>
        <v>100000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100052.83</v>
      </c>
      <c r="H646" s="104">
        <f>L408</f>
        <v>100052.83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2537877.4899999993</v>
      </c>
      <c r="H647" s="104">
        <f>L208+L226+L244</f>
        <v>2537877.4900000002</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921385.17</v>
      </c>
      <c r="H648" s="104">
        <f>(J257+J338)-(J255+J336)</f>
        <v>921385.17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1531095.93</v>
      </c>
      <c r="H649" s="104">
        <f>H598</f>
        <v>1531095.93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1006781.56</v>
      </c>
      <c r="H651" s="104">
        <f>J598</f>
        <v>1006781.5599999999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37.35</v>
      </c>
      <c r="H652" s="104">
        <f>K263+K345</f>
        <v>37.35</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100000</v>
      </c>
      <c r="H655" s="104">
        <f>K266+K347</f>
        <v>100000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30555746.91</v>
      </c>
      <c r="G660" s="19">
        <f>(L229+L309+L359)</f>
        <v>0</v>
      </c>
      <c r="H660" s="19">
        <f>(L247+L328+L360)</f>
        <v>17044549.27</v>
      </c>
      <c r="I660" s="19">
        <f>SUM(F660:H660)</f>
        <v>47600296.18</v>
      </c>
      <c r="J660" s="13"/>
      <c r="K660" s="13"/>
      <c r="L660" s="13"/>
      <c r="M660" s="9"/>
    </row>
    <row r="661" spans="1:13" s="3" customFormat="1" ht="12.2" customHeight="1" x14ac:dyDescent="0.2">
      <c r="A661" s="1" t="s">
        <v>127</v>
      </c>
      <c r="F661" s="19">
        <f>(L358/IF(SUM(L358:L360)=0,1,SUM(L358:L360))*(SUM(G97:G110)))</f>
        <v>429583.70215852058</v>
      </c>
      <c r="G661" s="19">
        <f>(L359/IF(SUM(L358:L360)=0,1,SUM(L358:L360))*(SUM(G97:G110)))</f>
        <v>0</v>
      </c>
      <c r="H661" s="19">
        <f>(L360/IF(SUM(L358:L360)=0,1,SUM(L358:L360))*(SUM(G97:G110)))</f>
        <v>262268.38784147939</v>
      </c>
      <c r="I661" s="19">
        <f>SUM(F661:H661)</f>
        <v>691852.09</v>
      </c>
      <c r="J661"/>
      <c r="K661" s="13"/>
      <c r="L661" s="13"/>
      <c r="M661" s="9"/>
    </row>
    <row r="662" spans="1:13" s="3" customFormat="1" ht="12.2" customHeight="1" x14ac:dyDescent="0.2">
      <c r="A662" s="1" t="s">
        <v>128</v>
      </c>
      <c r="F662" s="19">
        <f>(L208+L287)-(J208+J287)</f>
        <v>1531095.93</v>
      </c>
      <c r="G662" s="19">
        <f>(L226+L306)-(J226+J306)</f>
        <v>0</v>
      </c>
      <c r="H662" s="19">
        <f>(L244+L325)-(J244+J325)</f>
        <v>1006781.56</v>
      </c>
      <c r="I662" s="19">
        <f>SUM(F662:H662)</f>
        <v>2537877.4900000002</v>
      </c>
      <c r="J662"/>
      <c r="K662" s="13"/>
      <c r="L662" s="13"/>
      <c r="M662" s="8"/>
    </row>
    <row r="663" spans="1:13" s="3" customFormat="1" ht="12.2" customHeight="1" x14ac:dyDescent="0.15">
      <c r="A663" s="198" t="s">
        <v>129</v>
      </c>
      <c r="B663" s="169"/>
      <c r="C663" s="169"/>
      <c r="D663" s="169"/>
      <c r="E663" s="169"/>
      <c r="F663" s="199">
        <f>SUM(F575:F587)+SUM(H602:H604)+SUM(L611)</f>
        <v>981732.02</v>
      </c>
      <c r="G663" s="199">
        <f>SUM(G575:G587)+SUM(I602:I604)+L612</f>
        <v>0</v>
      </c>
      <c r="H663" s="199">
        <f>SUM(H575:H587)+SUM(J602:J604)+L613</f>
        <v>1650207.85</v>
      </c>
      <c r="I663" s="19">
        <f>SUM(F663:H663)</f>
        <v>2631939.87</v>
      </c>
      <c r="J663" s="13"/>
      <c r="K663" s="13"/>
      <c r="L663" s="13"/>
      <c r="M663" s="9"/>
    </row>
    <row r="664" spans="1:13" s="3" customFormat="1" ht="12.2" customHeight="1" x14ac:dyDescent="0.15">
      <c r="A664" s="1" t="s">
        <v>130</v>
      </c>
      <c r="F664" s="19">
        <f>F660-SUM(F661:F663)</f>
        <v>27613335.257841479</v>
      </c>
      <c r="G664" s="19">
        <f>G660-SUM(G661:G663)</f>
        <v>0</v>
      </c>
      <c r="H664" s="19">
        <f>H660-SUM(H661:H663)</f>
        <v>14125291.47215852</v>
      </c>
      <c r="I664" s="19">
        <f>I660-SUM(I661:I663)</f>
        <v>41738626.729999997</v>
      </c>
      <c r="J664" s="13"/>
      <c r="K664" s="13"/>
      <c r="L664" s="13"/>
      <c r="M664" s="9"/>
    </row>
    <row r="665" spans="1:13" s="3" customFormat="1" ht="12.2" customHeight="1" x14ac:dyDescent="0.2">
      <c r="A665" s="1" t="s">
        <v>131</v>
      </c>
      <c r="F665" s="246">
        <v>1935.52</v>
      </c>
      <c r="G665" s="247"/>
      <c r="H665" s="247">
        <v>937.08</v>
      </c>
      <c r="I665" s="19">
        <f>SUM(F665:H665)</f>
        <v>2872.6</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14266.62</v>
      </c>
      <c r="G667" s="19" t="e">
        <f>ROUND(G664/G665,2)</f>
        <v>#DIV/0!</v>
      </c>
      <c r="H667" s="19">
        <f>ROUND(H664/H665,2)</f>
        <v>15073.73</v>
      </c>
      <c r="I667" s="19">
        <f>ROUND(I664/I665,2)</f>
        <v>14529.91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-19.940000000000001</v>
      </c>
      <c r="I670" s="19">
        <f>SUM(F670:H670)</f>
        <v>-19.940000000000001</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14266.62</v>
      </c>
      <c r="G672" s="19" t="e">
        <f>ROUND((G664+G669)/(G665+G670),2)</f>
        <v>#DIV/0!</v>
      </c>
      <c r="H672" s="19">
        <f>ROUND((H664+H669)/(H665+H670),2)</f>
        <v>15401.46</v>
      </c>
      <c r="I672" s="19">
        <f>ROUND((I664+I669)/(I665+I670),2)</f>
        <v>14631.48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9" sqref="B39: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Windham</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11966972.92</v>
      </c>
      <c r="C9" s="229">
        <f>'DOE25'!G197+'DOE25'!G215+'DOE25'!G233+'DOE25'!G276+'DOE25'!G295+'DOE25'!G314</f>
        <v>5925106.0099999998</v>
      </c>
    </row>
    <row r="10" spans="1:3" x14ac:dyDescent="0.2">
      <c r="A10" t="s">
        <v>775</v>
      </c>
      <c r="B10" s="240">
        <v>11244143.800000001</v>
      </c>
      <c r="C10" s="240">
        <v>5569599.6500000004</v>
      </c>
    </row>
    <row r="11" spans="1:3" x14ac:dyDescent="0.2">
      <c r="A11" t="s">
        <v>776</v>
      </c>
      <c r="B11" s="240">
        <v>18442.97</v>
      </c>
      <c r="C11" s="240">
        <v>1473.88</v>
      </c>
    </row>
    <row r="12" spans="1:3" x14ac:dyDescent="0.2">
      <c r="A12" t="s">
        <v>777</v>
      </c>
      <c r="B12" s="240">
        <v>704386.15</v>
      </c>
      <c r="C12" s="240">
        <v>354032.48</v>
      </c>
    </row>
    <row r="13" spans="1:3" x14ac:dyDescent="0.2">
      <c r="A13" t="str">
        <f>IF(B9=B13,IF(C9=C13,"Check Total OK","Check Total Error"),"Check Total Error")</f>
        <v>Check Total OK</v>
      </c>
      <c r="B13" s="231">
        <f>SUM(B10:B12)</f>
        <v>11966972.920000002</v>
      </c>
      <c r="C13" s="231">
        <f>SUM(C10:C12)</f>
        <v>5925106.0099999998</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4633835.7699999996</v>
      </c>
      <c r="C18" s="229">
        <f>'DOE25'!G198+'DOE25'!G216+'DOE25'!G234+'DOE25'!G277+'DOE25'!G296+'DOE25'!G315</f>
        <v>2246428.38</v>
      </c>
    </row>
    <row r="19" spans="1:3" x14ac:dyDescent="0.2">
      <c r="A19" t="s">
        <v>775</v>
      </c>
      <c r="B19" s="240">
        <v>2261356.66</v>
      </c>
      <c r="C19" s="240">
        <v>1100749.9099999999</v>
      </c>
    </row>
    <row r="20" spans="1:3" x14ac:dyDescent="0.2">
      <c r="A20" t="s">
        <v>776</v>
      </c>
      <c r="B20" s="240">
        <v>1649022.25</v>
      </c>
      <c r="C20" s="240">
        <v>797482.07</v>
      </c>
    </row>
    <row r="21" spans="1:3" x14ac:dyDescent="0.2">
      <c r="A21" t="s">
        <v>777</v>
      </c>
      <c r="B21" s="240">
        <v>723456.86</v>
      </c>
      <c r="C21" s="240">
        <v>348196.4</v>
      </c>
    </row>
    <row r="22" spans="1:3" x14ac:dyDescent="0.2">
      <c r="A22" t="str">
        <f>IF(B18=B22,IF(C18=C22,"Check Total OK","Check Total Error"),"Check Total Error")</f>
        <v>Check Total OK</v>
      </c>
      <c r="B22" s="231">
        <f>SUM(B19:B21)</f>
        <v>4633835.7700000005</v>
      </c>
      <c r="C22" s="231">
        <f>SUM(C19:C21)</f>
        <v>2246428.38</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636417.4</v>
      </c>
      <c r="C36" s="235">
        <f>'DOE25'!G200+'DOE25'!G218+'DOE25'!G236+'DOE25'!G279+'DOE25'!G298+'DOE25'!G317</f>
        <v>286702.27999999997</v>
      </c>
    </row>
    <row r="37" spans="1:3" x14ac:dyDescent="0.2">
      <c r="A37" t="s">
        <v>775</v>
      </c>
      <c r="B37" s="240"/>
      <c r="C37" s="240"/>
    </row>
    <row r="38" spans="1:3" x14ac:dyDescent="0.2">
      <c r="A38" t="s">
        <v>776</v>
      </c>
      <c r="B38" s="240"/>
      <c r="C38" s="240"/>
    </row>
    <row r="39" spans="1:3" x14ac:dyDescent="0.2">
      <c r="A39" t="s">
        <v>777</v>
      </c>
      <c r="B39" s="240">
        <v>636417.4</v>
      </c>
      <c r="C39" s="240">
        <v>286702.28000000003</v>
      </c>
    </row>
    <row r="40" spans="1:3" x14ac:dyDescent="0.2">
      <c r="A40" t="str">
        <f>IF(B36=B40,IF(C36=C40,"Check Total OK","Check Total Error"),"Check Total Error")</f>
        <v>Check Total OK</v>
      </c>
      <c r="B40" s="231">
        <f>SUM(B37:B39)</f>
        <v>636417.4</v>
      </c>
      <c r="C40" s="231">
        <f>SUM(C37:C39)</f>
        <v>286702.28000000003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Windham</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28239819.260000002</v>
      </c>
      <c r="D5" s="20">
        <f>SUM('DOE25'!L197:L200)+SUM('DOE25'!L215:L218)+SUM('DOE25'!L233:L236)-F5-G5-H5</f>
        <v>27953833.879999999</v>
      </c>
      <c r="E5" s="243"/>
      <c r="F5" s="244"/>
      <c r="G5" s="53">
        <f>SUM('DOE25'!J197:J200)+SUM('DOE25'!J215:J218)+SUM('DOE25'!J233:J236)</f>
        <v>157398.37</v>
      </c>
      <c r="H5" s="53">
        <f>SUM('DOE25'!K197:K200)+SUM('DOE25'!K215:K218)+SUM('DOE25'!K233:K236)</f>
        <v>128587.01</v>
      </c>
      <c r="I5" s="256"/>
    </row>
    <row r="6" spans="1:9" x14ac:dyDescent="0.2">
      <c r="A6" s="32">
        <v>2100</v>
      </c>
      <c r="B6" t="s">
        <v>796</v>
      </c>
      <c r="C6" s="276">
        <f t="shared" si="0"/>
        <v>4312134.0999999996</v>
      </c>
      <c r="D6" s="20">
        <f>'DOE25'!L202+'DOE25'!L220+'DOE25'!L238-F6-G6-H6</f>
        <v>4282820.51</v>
      </c>
      <c r="E6" s="243"/>
      <c r="F6" s="244"/>
      <c r="G6" s="53">
        <f>'DOE25'!J202+'DOE25'!J220+'DOE25'!J238</f>
        <v>23958.03</v>
      </c>
      <c r="H6" s="53">
        <f>'DOE25'!K202+'DOE25'!K220+'DOE25'!K238</f>
        <v>5355.5599999999995</v>
      </c>
      <c r="I6" s="256"/>
    </row>
    <row r="7" spans="1:9" x14ac:dyDescent="0.2">
      <c r="A7" s="32">
        <v>2200</v>
      </c>
      <c r="B7" t="s">
        <v>821</v>
      </c>
      <c r="C7" s="276">
        <f t="shared" si="0"/>
        <v>2424910.7300000004</v>
      </c>
      <c r="D7" s="20">
        <f>'DOE25'!L203+'DOE25'!L221+'DOE25'!L239-F7-G7-H7</f>
        <v>1812250.5400000005</v>
      </c>
      <c r="E7" s="243"/>
      <c r="F7" s="244"/>
      <c r="G7" s="53">
        <f>'DOE25'!J203+'DOE25'!J221+'DOE25'!J239</f>
        <v>612660.19000000006</v>
      </c>
      <c r="H7" s="53">
        <f>'DOE25'!K203+'DOE25'!K221+'DOE25'!K239</f>
        <v>0</v>
      </c>
      <c r="I7" s="256"/>
    </row>
    <row r="8" spans="1:9" x14ac:dyDescent="0.2">
      <c r="A8" s="32">
        <v>2300</v>
      </c>
      <c r="B8" t="s">
        <v>797</v>
      </c>
      <c r="C8" s="276">
        <f t="shared" si="0"/>
        <v>2107190.2399999998</v>
      </c>
      <c r="D8" s="243"/>
      <c r="E8" s="20">
        <f>'DOE25'!L204+'DOE25'!L222+'DOE25'!L240-F8-G8-H8-D9-D11</f>
        <v>2049495.8699999999</v>
      </c>
      <c r="F8" s="244"/>
      <c r="G8" s="53">
        <f>'DOE25'!J204+'DOE25'!J222+'DOE25'!J240</f>
        <v>15781.18</v>
      </c>
      <c r="H8" s="53">
        <f>'DOE25'!K204+'DOE25'!K222+'DOE25'!K240</f>
        <v>41913.19</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1887307.6199999999</v>
      </c>
      <c r="D12" s="20">
        <f>'DOE25'!L205+'DOE25'!L223+'DOE25'!L241-F12-G12-H12</f>
        <v>1798983.95</v>
      </c>
      <c r="E12" s="243"/>
      <c r="F12" s="244"/>
      <c r="G12" s="53">
        <f>'DOE25'!J205+'DOE25'!J223+'DOE25'!J241</f>
        <v>37929.5</v>
      </c>
      <c r="H12" s="53">
        <f>'DOE25'!K205+'DOE25'!K223+'DOE25'!K241</f>
        <v>50394.17</v>
      </c>
      <c r="I12" s="256"/>
    </row>
    <row r="13" spans="1:9" x14ac:dyDescent="0.2">
      <c r="A13" s="32">
        <v>2500</v>
      </c>
      <c r="B13" t="s">
        <v>798</v>
      </c>
      <c r="C13" s="276">
        <f t="shared" si="0"/>
        <v>1214429.3400000001</v>
      </c>
      <c r="D13" s="243"/>
      <c r="E13" s="20">
        <f>'DOE25'!L206+'DOE25'!L224+'DOE25'!L242-F13-G13-H13</f>
        <v>1201156.3900000001</v>
      </c>
      <c r="F13" s="244"/>
      <c r="G13" s="53">
        <f>'DOE25'!J206+'DOE25'!J224+'DOE25'!J242</f>
        <v>0</v>
      </c>
      <c r="H13" s="53">
        <f>'DOE25'!K206+'DOE25'!K224+'DOE25'!K242</f>
        <v>13272.95</v>
      </c>
      <c r="I13" s="256"/>
    </row>
    <row r="14" spans="1:9" x14ac:dyDescent="0.2">
      <c r="A14" s="32">
        <v>2600</v>
      </c>
      <c r="B14" t="s">
        <v>819</v>
      </c>
      <c r="C14" s="276">
        <f t="shared" si="0"/>
        <v>2880884.6500000004</v>
      </c>
      <c r="D14" s="20">
        <f>'DOE25'!L207+'DOE25'!L225+'DOE25'!L243-F14-G14-H14</f>
        <v>2812638.99</v>
      </c>
      <c r="E14" s="243"/>
      <c r="F14" s="244"/>
      <c r="G14" s="53">
        <f>'DOE25'!J207+'DOE25'!J225+'DOE25'!J243</f>
        <v>68245.66</v>
      </c>
      <c r="H14" s="53">
        <f>'DOE25'!K207+'DOE25'!K225+'DOE25'!K243</f>
        <v>0</v>
      </c>
      <c r="I14" s="256"/>
    </row>
    <row r="15" spans="1:9" x14ac:dyDescent="0.2">
      <c r="A15" s="32">
        <v>2700</v>
      </c>
      <c r="B15" t="s">
        <v>799</v>
      </c>
      <c r="C15" s="276">
        <f t="shared" si="0"/>
        <v>2537877.4900000002</v>
      </c>
      <c r="D15" s="20">
        <f>'DOE25'!L208+'DOE25'!L226+'DOE25'!L244-F15-G15-H15</f>
        <v>2537877.4900000002</v>
      </c>
      <c r="E15" s="243"/>
      <c r="F15" s="244"/>
      <c r="G15" s="53">
        <f>'DOE25'!J208+'DOE25'!J226+'DOE25'!J244</f>
        <v>0</v>
      </c>
      <c r="H15" s="53">
        <f>'DOE25'!K208+'DOE25'!K226+'DOE25'!K244</f>
        <v>0</v>
      </c>
      <c r="I15" s="256"/>
    </row>
    <row r="16" spans="1:9" x14ac:dyDescent="0.2">
      <c r="A16" s="32">
        <v>2800</v>
      </c>
      <c r="B16" t="s">
        <v>800</v>
      </c>
      <c r="C16" s="276">
        <f t="shared" si="0"/>
        <v>93142.75</v>
      </c>
      <c r="D16" s="243"/>
      <c r="E16" s="20">
        <f>'DOE25'!L209+'DOE25'!L227+'DOE25'!L245-F16-G16-H16</f>
        <v>93142.75</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199146</v>
      </c>
      <c r="D22" s="243"/>
      <c r="E22" s="243"/>
      <c r="F22" s="243"/>
      <c r="G22" s="53">
        <f>'DOE25'!L255+'DOE25'!L336</f>
        <v>199146</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5682616.4000000004</v>
      </c>
      <c r="D25" s="243"/>
      <c r="E25" s="243"/>
      <c r="F25" s="255"/>
      <c r="G25" s="253"/>
      <c r="H25" s="253"/>
      <c r="I25" s="254">
        <f>'DOE25'!L260+'DOE25'!L261+'DOE25'!L341+'DOE25'!L342</f>
        <v>5682616.4000000004</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587492.92000000004</v>
      </c>
      <c r="D29" s="284">
        <f>'DOE25'!L358+'DOE25'!L359+'DOE25'!L360-'DOE25'!I367-F29-G29-H29</f>
        <v>460927.83000000007</v>
      </c>
      <c r="E29" s="243"/>
      <c r="F29" s="244"/>
      <c r="G29" s="53">
        <f>'DOE25'!J358+'DOE25'!J359+'DOE25'!J360</f>
        <v>125256.59</v>
      </c>
      <c r="H29" s="53">
        <f>'DOE25'!K358+'DOE25'!K359+'DOE25'!K360</f>
        <v>1308.5</v>
      </c>
      <c r="I29" s="256"/>
    </row>
    <row r="30" spans="1:9" x14ac:dyDescent="0.2">
      <c r="A30" s="32"/>
      <c r="C30" s="277"/>
      <c r="D30" s="20"/>
      <c r="E30" s="281"/>
      <c r="F30" s="271"/>
      <c r="G30" s="53"/>
      <c r="H30" s="53"/>
      <c r="I30" s="256"/>
    </row>
    <row r="31" spans="1:9" x14ac:dyDescent="0.2">
      <c r="A31" s="32" t="s">
        <v>818</v>
      </c>
      <c r="B31" t="s">
        <v>817</v>
      </c>
      <c r="C31" s="276">
        <f>SUM(D31:I31)</f>
        <v>932252.41999999981</v>
      </c>
      <c r="D31" s="20">
        <f>'DOE25'!L290+'DOE25'!L309+'DOE25'!L328+'DOE25'!L333+'DOE25'!L334+'DOE25'!L335-F31-G31-H31</f>
        <v>853744.45999999985</v>
      </c>
      <c r="E31" s="243"/>
      <c r="F31" s="244"/>
      <c r="G31" s="53">
        <f>'DOE25'!J290+'DOE25'!J309+'DOE25'!J328+'DOE25'!J333+'DOE25'!J334+'DOE25'!J335</f>
        <v>5412.24</v>
      </c>
      <c r="H31" s="53">
        <f>'DOE25'!K290+'DOE25'!K309+'DOE25'!K328+'DOE25'!K333+'DOE25'!K334+'DOE25'!K335</f>
        <v>73095.72</v>
      </c>
      <c r="I31" s="256"/>
    </row>
    <row r="32" spans="1:9" ht="12" thickBot="1" x14ac:dyDescent="0.25">
      <c r="C32" s="277"/>
      <c r="G32" s="251"/>
      <c r="H32" s="251"/>
      <c r="I32" s="258"/>
    </row>
    <row r="33" spans="1:9" ht="12" thickTop="1" x14ac:dyDescent="0.2">
      <c r="B33" t="s">
        <v>809</v>
      </c>
      <c r="D33" s="245">
        <f t="shared" ref="D33:I33" si="1">SUM(D5:D31)</f>
        <v>42513077.650000006</v>
      </c>
      <c r="E33" s="245">
        <f t="shared" si="1"/>
        <v>3343795.01</v>
      </c>
      <c r="F33" s="245">
        <f t="shared" si="1"/>
        <v>0</v>
      </c>
      <c r="G33" s="245">
        <f t="shared" si="1"/>
        <v>1245787.7600000002</v>
      </c>
      <c r="H33" s="245">
        <f t="shared" si="1"/>
        <v>313927.09999999998</v>
      </c>
      <c r="I33" s="245">
        <f t="shared" si="1"/>
        <v>5682616.4000000004</v>
      </c>
    </row>
    <row r="35" spans="1:9" ht="12" thickBot="1" x14ac:dyDescent="0.25">
      <c r="B35" s="251" t="s">
        <v>831</v>
      </c>
      <c r="D35" s="252">
        <f>E33</f>
        <v>3343795.01</v>
      </c>
      <c r="E35" s="248"/>
    </row>
    <row r="36" spans="1:9" ht="12" thickTop="1" x14ac:dyDescent="0.2">
      <c r="B36" t="s">
        <v>810</v>
      </c>
      <c r="D36" s="20">
        <f>D33</f>
        <v>42513077.650000006</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32" sqref="I32"/>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Windham</v>
      </c>
      <c r="B2" s="126">
        <f>'DOE25'!B2</f>
        <v>575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30423756.010000002</v>
      </c>
      <c r="G4" s="303">
        <f>'DOE25'!L211+'DOE25'!L290</f>
        <v>29953240.23</v>
      </c>
      <c r="H4" s="304">
        <f>F4-G4</f>
        <v>470515.78000000119</v>
      </c>
      <c r="I4" s="310" t="str">
        <f>IF(H4=0,"","Does not match DOE25 page 7 and 11 Totals!!")</f>
        <v>Does not match DOE25 page 7 and 11 Totals!!</v>
      </c>
      <c r="N4"/>
    </row>
    <row r="5" spans="1:18" x14ac:dyDescent="0.2">
      <c r="A5" s="21" t="s">
        <v>1509</v>
      </c>
      <c r="B5" s="305">
        <f>IFERROR(VLOOKUP(A5,'School Tables'!$C$3:$D$368,2,FALSE),"")</f>
        <v>21130</v>
      </c>
      <c r="C5" s="297" t="str">
        <f>IFERROR(INDEX('School Tables'!$B$3:$B$368,MATCH('School Level Expenditures'!B5,'School Tables'!$D$3:$D$368,0)),"")</f>
        <v>Windham</v>
      </c>
      <c r="D5" s="294">
        <v>7717012.5199999996</v>
      </c>
      <c r="E5" s="294">
        <v>193164.04</v>
      </c>
      <c r="F5" s="313">
        <f>D5+E5</f>
        <v>7910176.5599999996</v>
      </c>
      <c r="G5" s="297"/>
      <c r="H5" s="297"/>
      <c r="I5" s="126"/>
      <c r="N5"/>
    </row>
    <row r="6" spans="1:18" x14ac:dyDescent="0.2">
      <c r="A6" s="21" t="s">
        <v>1510</v>
      </c>
      <c r="B6" s="305">
        <f>IFERROR(VLOOKUP(A6,'School Tables'!$C$3:$D$368,2,FALSE),"")</f>
        <v>21135</v>
      </c>
      <c r="C6" s="297" t="str">
        <f>IFERROR(INDEX('School Tables'!$B$3:$B$368,MATCH('School Level Expenditures'!B6,'School Tables'!$D$3:$D$368,0)),"")</f>
        <v>Windham</v>
      </c>
      <c r="D6" s="294">
        <v>10091477.91</v>
      </c>
      <c r="E6" s="294">
        <v>252599.13</v>
      </c>
      <c r="F6" s="308">
        <f t="shared" ref="F6:F20" si="0">D6+E6</f>
        <v>10344077.040000001</v>
      </c>
      <c r="G6" s="297"/>
      <c r="H6" s="297"/>
      <c r="I6" s="126"/>
      <c r="N6"/>
    </row>
    <row r="7" spans="1:18" x14ac:dyDescent="0.2">
      <c r="A7" s="21" t="s">
        <v>1508</v>
      </c>
      <c r="B7" s="305">
        <f>IFERROR(VLOOKUP(A7,'School Tables'!$C$3:$D$368,2,FALSE),"")</f>
        <v>21125</v>
      </c>
      <c r="C7" s="297" t="str">
        <f>IFERROR(INDEX('School Tables'!$B$3:$B$368,MATCH('School Level Expenditures'!B7,'School Tables'!$D$3:$D$368,0)),"")</f>
        <v>Windham</v>
      </c>
      <c r="D7" s="294">
        <v>11872326.949999999</v>
      </c>
      <c r="E7" s="294">
        <v>297175.46000000002</v>
      </c>
      <c r="F7" s="308">
        <f t="shared" si="0"/>
        <v>12169502.41</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16206192.59</v>
      </c>
      <c r="G36" s="303">
        <f>'DOE25'!L247+'DOE25'!L328</f>
        <v>16676708.370000001</v>
      </c>
      <c r="H36" s="304">
        <f>F36-G36</f>
        <v>-470515.78000000119</v>
      </c>
      <c r="I36" s="310" t="str">
        <f>IF(H36=0,"","Does not match DOE25 page 9 and 13 Totals!!")</f>
        <v>Does not match DOE25 page 9 and 13 Totals!!</v>
      </c>
      <c r="N36"/>
    </row>
    <row r="37" spans="1:14" x14ac:dyDescent="0.2">
      <c r="A37" s="21" t="s">
        <v>1511</v>
      </c>
      <c r="B37" s="305">
        <f>IFERROR(VLOOKUP(A37,'School Tables'!$O$3:$P$122,2,FALSE),"")</f>
        <v>28640</v>
      </c>
      <c r="C37" s="297" t="str">
        <f t="array" ref="C37">IFERROR(INDEX('School Tables'!$N$3:$N$122,MATCH('School Level Expenditures'!B37,'School Tables'!$P$3:$P$122,0)),"")</f>
        <v>Windham</v>
      </c>
      <c r="D37" s="294">
        <v>16016878.800000001</v>
      </c>
      <c r="E37" s="294">
        <v>189313.79</v>
      </c>
      <c r="F37" s="308">
        <f>D37+E37</f>
        <v>16206192.59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48" activePane="bottomLeft" state="frozen"/>
      <selection activeCell="F46" sqref="F46"/>
      <selection pane="bottomLeft" activeCell="R97" sqref="R97:R10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Windham</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5134193.8600000003</v>
      </c>
      <c r="D8" s="95">
        <f>'DOE25'!G9</f>
        <v>0</v>
      </c>
      <c r="E8" s="95">
        <f>'DOE25'!H9</f>
        <v>0</v>
      </c>
      <c r="F8" s="95">
        <f>'DOE25'!I9</f>
        <v>587839.06000000006</v>
      </c>
      <c r="G8" s="95">
        <f>'DOE25'!J9</f>
        <v>1070652.3899999999</v>
      </c>
      <c r="H8" s="124"/>
      <c r="I8" s="124"/>
    </row>
    <row r="9" spans="1:9" x14ac:dyDescent="0.2">
      <c r="A9" s="1" t="s">
        <v>140</v>
      </c>
      <c r="B9" s="6">
        <v>110</v>
      </c>
      <c r="C9" s="95">
        <f>'DOE25'!F10</f>
        <v>0</v>
      </c>
      <c r="D9" s="95">
        <f>'DOE25'!G10</f>
        <v>0</v>
      </c>
      <c r="E9" s="95">
        <f>'DOE25'!H10</f>
        <v>0</v>
      </c>
      <c r="F9" s="95">
        <f>'DOE25'!I10</f>
        <v>8664756.3000000007</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107763.91</v>
      </c>
      <c r="E11" s="95">
        <f>'DOE25'!H12</f>
        <v>407760.85</v>
      </c>
      <c r="F11" s="95">
        <f>'DOE25'!I12</f>
        <v>21901.02</v>
      </c>
      <c r="G11" s="95">
        <f>'DOE25'!J12</f>
        <v>0</v>
      </c>
      <c r="H11" s="124"/>
      <c r="I11" s="124"/>
    </row>
    <row r="12" spans="1:9" x14ac:dyDescent="0.2">
      <c r="A12" s="1" t="s">
        <v>143</v>
      </c>
      <c r="B12" s="6">
        <v>140</v>
      </c>
      <c r="C12" s="95">
        <f>'DOE25'!F13</f>
        <v>23872.02</v>
      </c>
      <c r="D12" s="95">
        <f>'DOE25'!G13</f>
        <v>5565.66</v>
      </c>
      <c r="E12" s="95">
        <f>'DOE25'!H13</f>
        <v>123468.02</v>
      </c>
      <c r="F12" s="95">
        <f>'DOE25'!I13</f>
        <v>0</v>
      </c>
      <c r="G12" s="95">
        <f>'DOE25'!J13</f>
        <v>0</v>
      </c>
      <c r="H12" s="124"/>
      <c r="I12" s="124"/>
    </row>
    <row r="13" spans="1:9" x14ac:dyDescent="0.2">
      <c r="A13" s="1" t="s">
        <v>144</v>
      </c>
      <c r="B13" s="6">
        <v>150</v>
      </c>
      <c r="C13" s="95">
        <f>'DOE25'!F14</f>
        <v>20096.439999999999</v>
      </c>
      <c r="D13" s="95">
        <f>'DOE25'!G14</f>
        <v>0</v>
      </c>
      <c r="E13" s="95">
        <f>'DOE25'!H14</f>
        <v>4898</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27128.25</v>
      </c>
      <c r="E15" s="95">
        <f>'DOE25'!H16</f>
        <v>0</v>
      </c>
      <c r="F15" s="95">
        <f>'DOE25'!I16</f>
        <v>0</v>
      </c>
      <c r="G15" s="24" t="s">
        <v>288</v>
      </c>
      <c r="H15" s="124"/>
      <c r="I15" s="124"/>
    </row>
    <row r="16" spans="1:9" x14ac:dyDescent="0.2">
      <c r="A16" s="1" t="s">
        <v>147</v>
      </c>
      <c r="B16" s="6">
        <v>180</v>
      </c>
      <c r="C16" s="95">
        <f>'DOE25'!F17</f>
        <v>2715</v>
      </c>
      <c r="D16" s="95">
        <f>'DOE25'!G17</f>
        <v>0</v>
      </c>
      <c r="E16" s="95">
        <f>'DOE25'!H17</f>
        <v>449.6</v>
      </c>
      <c r="F16" s="95">
        <f>'DOE25'!I17</f>
        <v>0</v>
      </c>
      <c r="G16" s="95">
        <f>'DOE25'!J17</f>
        <v>0</v>
      </c>
      <c r="H16" s="124"/>
      <c r="I16" s="124"/>
    </row>
    <row r="17" spans="1:9" ht="12" thickBot="1" x14ac:dyDescent="0.25">
      <c r="A17" s="1" t="s">
        <v>148</v>
      </c>
      <c r="B17" s="6">
        <v>190</v>
      </c>
      <c r="C17" s="95">
        <f>'DOE25'!F18</f>
        <v>0.03</v>
      </c>
      <c r="D17" s="95">
        <f>'DOE25'!G18</f>
        <v>0</v>
      </c>
      <c r="E17" s="95">
        <f>'DOE25'!H18</f>
        <v>0</v>
      </c>
      <c r="F17" s="95">
        <f>'DOE25'!I18</f>
        <v>0</v>
      </c>
      <c r="G17" s="95">
        <f>'DOE25'!J18</f>
        <v>0</v>
      </c>
      <c r="H17" s="124"/>
      <c r="I17" s="124"/>
    </row>
    <row r="18" spans="1:9" ht="12" thickTop="1" x14ac:dyDescent="0.2">
      <c r="A18" s="38" t="s">
        <v>149</v>
      </c>
      <c r="B18" s="39"/>
      <c r="C18" s="41">
        <f>SUM(C8:C17)</f>
        <v>5180877.3500000006</v>
      </c>
      <c r="D18" s="41">
        <f>SUM(D8:D17)</f>
        <v>140457.82</v>
      </c>
      <c r="E18" s="41">
        <f>SUM(E8:E17)</f>
        <v>536576.47</v>
      </c>
      <c r="F18" s="41">
        <f>SUM(F8:F17)</f>
        <v>9274496.3800000008</v>
      </c>
      <c r="G18" s="41">
        <f>SUM(G8:G17)</f>
        <v>1070652.3899999999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413805.96</v>
      </c>
      <c r="D21" s="95">
        <f>'DOE25'!G22</f>
        <v>0</v>
      </c>
      <c r="E21" s="95">
        <f>'DOE25'!H22</f>
        <v>123917.62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120695.69</v>
      </c>
      <c r="D23" s="95">
        <f>'DOE25'!G24</f>
        <v>0</v>
      </c>
      <c r="E23" s="95">
        <f>'DOE25'!H24</f>
        <v>0</v>
      </c>
      <c r="F23" s="95">
        <f>'DOE25'!I24</f>
        <v>1085465.76</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4262.18</v>
      </c>
      <c r="D27" s="95">
        <f>'DOE25'!G28</f>
        <v>0</v>
      </c>
      <c r="E27" s="95">
        <f>'DOE25'!H28</f>
        <v>54</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1851030.18</v>
      </c>
      <c r="D29" s="95">
        <f>'DOE25'!G30</f>
        <v>39248.080000000002</v>
      </c>
      <c r="E29" s="95">
        <f>'DOE25'!H30</f>
        <v>6000</v>
      </c>
      <c r="F29" s="95">
        <f>'DOE25'!I30</f>
        <v>0</v>
      </c>
      <c r="G29" s="24" t="s">
        <v>288</v>
      </c>
      <c r="H29" s="124"/>
      <c r="I29" s="124"/>
    </row>
    <row r="30" spans="1:9" ht="12" thickBot="1" x14ac:dyDescent="0.25">
      <c r="A30" s="1" t="s">
        <v>159</v>
      </c>
      <c r="B30" s="71">
        <v>490</v>
      </c>
      <c r="C30" s="95">
        <f>'DOE25'!F31</f>
        <v>33705.29</v>
      </c>
      <c r="D30" s="95">
        <f>'DOE25'!G31</f>
        <v>0</v>
      </c>
      <c r="E30" s="95">
        <f>'DOE25'!H31</f>
        <v>0</v>
      </c>
      <c r="F30" s="95">
        <f>'DOE25'!I31</f>
        <v>0</v>
      </c>
      <c r="G30" s="95">
        <f>'DOE25'!J31</f>
        <v>0</v>
      </c>
      <c r="H30" s="124"/>
      <c r="I30" s="124"/>
    </row>
    <row r="31" spans="1:9" ht="12" thickTop="1" x14ac:dyDescent="0.2">
      <c r="A31" s="38" t="s">
        <v>160</v>
      </c>
      <c r="B31" s="2"/>
      <c r="C31" s="41">
        <f>SUM(C21:C30)</f>
        <v>2423499.2999999998</v>
      </c>
      <c r="D31" s="41">
        <f>SUM(D21:D30)</f>
        <v>39248.080000000002</v>
      </c>
      <c r="E31" s="41">
        <f>SUM(E21:E30)</f>
        <v>129971.62</v>
      </c>
      <c r="F31" s="41">
        <f>SUM(F21:F30)</f>
        <v>1085465.76</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27128.25</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74081.490000000005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35179</v>
      </c>
      <c r="D47" s="95">
        <f>'DOE25'!G48</f>
        <v>0</v>
      </c>
      <c r="E47" s="95">
        <f>'DOE25'!H48</f>
        <v>406604.85</v>
      </c>
      <c r="F47" s="95">
        <f>'DOE25'!I48</f>
        <v>8189030.6200000001</v>
      </c>
      <c r="G47" s="95">
        <f>'DOE25'!J48</f>
        <v>1070652.3899999999</v>
      </c>
      <c r="H47" s="124"/>
      <c r="I47" s="124"/>
    </row>
    <row r="48" spans="1:9" x14ac:dyDescent="0.2">
      <c r="A48" s="1" t="s">
        <v>882</v>
      </c>
      <c r="B48" s="6">
        <v>753</v>
      </c>
      <c r="C48" s="95">
        <f>'DOE25'!F49</f>
        <v>465570.84</v>
      </c>
      <c r="D48" s="95">
        <f>'DOE25'!G49</f>
        <v>0</v>
      </c>
      <c r="E48" s="95">
        <f>'DOE25'!H49</f>
        <v>0</v>
      </c>
      <c r="F48" s="95">
        <f>'DOE25'!I49</f>
        <v>0</v>
      </c>
      <c r="G48" s="95">
        <f>'DOE25'!J49</f>
        <v>0</v>
      </c>
      <c r="H48" s="124"/>
      <c r="I48" s="124"/>
    </row>
    <row r="49" spans="1:9" ht="12" thickBot="1" x14ac:dyDescent="0.25">
      <c r="A49" s="29" t="s">
        <v>883</v>
      </c>
      <c r="B49" s="71">
        <v>770</v>
      </c>
      <c r="C49" s="95">
        <f>'DOE25'!F50</f>
        <v>2156628.21</v>
      </c>
      <c r="D49" s="24" t="s">
        <v>288</v>
      </c>
      <c r="E49" s="24" t="s">
        <v>288</v>
      </c>
      <c r="F49" s="24" t="s">
        <v>288</v>
      </c>
      <c r="G49" s="24" t="s">
        <v>288</v>
      </c>
      <c r="H49" s="124"/>
      <c r="I49" s="124"/>
    </row>
    <row r="50" spans="1:9" ht="12.75" thickTop="1" thickBot="1" x14ac:dyDescent="0.25">
      <c r="A50" s="38" t="s">
        <v>884</v>
      </c>
      <c r="B50" s="48"/>
      <c r="C50" s="41">
        <f>SUM(C34:C49)</f>
        <v>2757378.05</v>
      </c>
      <c r="D50" s="41">
        <f>SUM(D34:D49)</f>
        <v>101209.74</v>
      </c>
      <c r="E50" s="41">
        <f>SUM(E34:E49)</f>
        <v>406604.85</v>
      </c>
      <c r="F50" s="41">
        <f>SUM(F34:F49)</f>
        <v>8189030.6200000001</v>
      </c>
      <c r="G50" s="41">
        <f>SUM(G34:G49)</f>
        <v>1070652.3899999999</v>
      </c>
      <c r="H50" s="124"/>
      <c r="I50" s="124"/>
    </row>
    <row r="51" spans="1:9" ht="12" thickTop="1" x14ac:dyDescent="0.2">
      <c r="A51" s="38" t="s">
        <v>885</v>
      </c>
      <c r="B51" s="2"/>
      <c r="C51" s="41">
        <f>C50+C31</f>
        <v>5180877.3499999996</v>
      </c>
      <c r="D51" s="41">
        <f>D50+D31</f>
        <v>140457.82</v>
      </c>
      <c r="E51" s="41">
        <f>E50+E31</f>
        <v>536576.47</v>
      </c>
      <c r="F51" s="41">
        <f>F50+F31</f>
        <v>9274496.3800000008</v>
      </c>
      <c r="G51" s="41">
        <f>G50+G31</f>
        <v>1070652.3899999999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38748271</v>
      </c>
      <c r="D56" s="95">
        <f>'DOE25'!G60</f>
        <v>0</v>
      </c>
      <c r="E56" s="95">
        <f>'DOE25'!H60</f>
        <v>0</v>
      </c>
      <c r="F56" s="95">
        <f>'DOE25'!I60</f>
        <v>0</v>
      </c>
      <c r="G56" s="95">
        <f>'DOE25'!J60</f>
        <v>0</v>
      </c>
      <c r="H56"/>
      <c r="I56"/>
    </row>
    <row r="57" spans="1:9" x14ac:dyDescent="0.2">
      <c r="A57" s="1" t="s">
        <v>164</v>
      </c>
      <c r="B57" s="6" t="s">
        <v>165</v>
      </c>
      <c r="C57" s="95">
        <f>'DOE25'!F79</f>
        <v>86730</v>
      </c>
      <c r="D57" s="24" t="s">
        <v>288</v>
      </c>
      <c r="E57" s="95">
        <f>'DOE25'!H79</f>
        <v>197224.97999999998</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54316.75</v>
      </c>
      <c r="D59" s="95">
        <f>'DOE25'!G96</f>
        <v>0</v>
      </c>
      <c r="E59" s="95">
        <f>'DOE25'!H96</f>
        <v>0</v>
      </c>
      <c r="F59" s="95">
        <f>'DOE25'!I96</f>
        <v>285961.64</v>
      </c>
      <c r="G59" s="95">
        <f>'DOE25'!J96</f>
        <v>52.83</v>
      </c>
      <c r="H59"/>
      <c r="I59"/>
    </row>
    <row r="60" spans="1:9" x14ac:dyDescent="0.2">
      <c r="A60" s="1" t="s">
        <v>170</v>
      </c>
      <c r="B60" s="118" t="s">
        <v>171</v>
      </c>
      <c r="C60" s="24" t="s">
        <v>288</v>
      </c>
      <c r="D60" s="95">
        <f>'DOE25'!G97</f>
        <v>682694.95</v>
      </c>
      <c r="E60" s="24" t="s">
        <v>288</v>
      </c>
      <c r="F60" s="24" t="s">
        <v>288</v>
      </c>
      <c r="G60" s="24" t="s">
        <v>288</v>
      </c>
      <c r="H60"/>
      <c r="I60"/>
    </row>
    <row r="61" spans="1:9" ht="12" thickBot="1" x14ac:dyDescent="0.25">
      <c r="A61" s="1" t="s">
        <v>172</v>
      </c>
      <c r="B61" s="118" t="s">
        <v>173</v>
      </c>
      <c r="C61" s="95">
        <f>SUM('DOE25'!F98:F110)</f>
        <v>514449.47000000003</v>
      </c>
      <c r="D61" s="95">
        <f>SUM('DOE25'!G98:G110)</f>
        <v>9157.14</v>
      </c>
      <c r="E61" s="95">
        <f>SUM('DOE25'!H98:H110)</f>
        <v>239373.85</v>
      </c>
      <c r="F61" s="95">
        <f>SUM('DOE25'!I98:I110)</f>
        <v>28020.01</v>
      </c>
      <c r="G61" s="95">
        <f>SUM('DOE25'!J98:J110)</f>
        <v>0</v>
      </c>
      <c r="H61"/>
      <c r="I61"/>
    </row>
    <row r="62" spans="1:9" ht="12.75" thickTop="1" thickBot="1" x14ac:dyDescent="0.25">
      <c r="A62" s="29" t="s">
        <v>174</v>
      </c>
      <c r="B62" s="6"/>
      <c r="C62" s="130">
        <f>SUM(C57:C61)</f>
        <v>655496.22</v>
      </c>
      <c r="D62" s="130">
        <f>SUM(D57:D61)</f>
        <v>691852.09</v>
      </c>
      <c r="E62" s="130">
        <f>SUM(E57:E61)</f>
        <v>436598.82999999996</v>
      </c>
      <c r="F62" s="130">
        <f>SUM(F57:F61)</f>
        <v>313981.65000000002</v>
      </c>
      <c r="G62" s="130">
        <f>SUM(G57:G61)</f>
        <v>52.83</v>
      </c>
      <c r="H62"/>
      <c r="I62"/>
    </row>
    <row r="63" spans="1:9" ht="12" thickTop="1" x14ac:dyDescent="0.2">
      <c r="A63" s="29" t="s">
        <v>175</v>
      </c>
      <c r="B63" s="6"/>
      <c r="C63" s="22">
        <f>C56+C62</f>
        <v>39403767.219999999</v>
      </c>
      <c r="D63" s="22">
        <f>D56+D62</f>
        <v>691852.09</v>
      </c>
      <c r="E63" s="22">
        <f>E56+E62</f>
        <v>436598.82999999996</v>
      </c>
      <c r="F63" s="22">
        <f>F56+F62</f>
        <v>313981.65000000002</v>
      </c>
      <c r="G63" s="22">
        <f>G56+G62</f>
        <v>52.83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6093244.96</v>
      </c>
      <c r="D66" s="24" t="s">
        <v>288</v>
      </c>
      <c r="E66" s="24" t="s">
        <v>288</v>
      </c>
      <c r="F66" s="24" t="s">
        <v>288</v>
      </c>
      <c r="G66" s="24" t="s">
        <v>288</v>
      </c>
      <c r="H66"/>
      <c r="I66"/>
    </row>
    <row r="67" spans="1:9" x14ac:dyDescent="0.2">
      <c r="A67" s="1" t="s">
        <v>770</v>
      </c>
      <c r="B67" s="6">
        <v>3112</v>
      </c>
      <c r="C67" s="95">
        <f>'DOE25'!F118</f>
        <v>5381912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7824.36</v>
      </c>
      <c r="D69" s="95">
        <f>'DOE25'!G120</f>
        <v>0</v>
      </c>
      <c r="E69" s="95">
        <f>'DOE25'!H120</f>
        <v>0</v>
      </c>
      <c r="F69" s="95">
        <f>'DOE25'!I120</f>
        <v>0</v>
      </c>
      <c r="G69" s="95">
        <f>'DOE25'!J120</f>
        <v>0</v>
      </c>
      <c r="H69"/>
      <c r="I69"/>
    </row>
    <row r="70" spans="1:9" ht="12" thickTop="1" x14ac:dyDescent="0.2">
      <c r="A70" s="29" t="s">
        <v>252</v>
      </c>
      <c r="B70" s="2"/>
      <c r="C70" s="139">
        <f>SUM(C66:C69)</f>
        <v>11482981.32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721925.96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342131.22</v>
      </c>
      <c r="D75" s="24" t="s">
        <v>288</v>
      </c>
      <c r="E75" s="24" t="s">
        <v>288</v>
      </c>
      <c r="F75" s="24" t="s">
        <v>288</v>
      </c>
      <c r="G75" s="24" t="s">
        <v>288</v>
      </c>
      <c r="H75"/>
      <c r="I75"/>
    </row>
    <row r="76" spans="1:9" x14ac:dyDescent="0.2">
      <c r="A76" s="1" t="s">
        <v>257</v>
      </c>
      <c r="B76" s="6" t="s">
        <v>179</v>
      </c>
      <c r="C76" s="95">
        <f>SUM('DOE25'!F127:F130)</f>
        <v>11201.6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9835.66</v>
      </c>
      <c r="E77" s="95">
        <f>SUM('DOE25'!H131:H135)</f>
        <v>39685.629999999997</v>
      </c>
      <c r="F77" s="95">
        <f>SUM('DOE25'!I131:I135)</f>
        <v>0</v>
      </c>
      <c r="G77" s="95">
        <f>SUM('DOE25'!J131:J135)</f>
        <v>0</v>
      </c>
      <c r="H77"/>
      <c r="I77"/>
    </row>
    <row r="78" spans="1:9" ht="12.75" thickTop="1" thickBot="1" x14ac:dyDescent="0.25">
      <c r="A78" s="29" t="s">
        <v>259</v>
      </c>
      <c r="B78" s="6"/>
      <c r="C78" s="130">
        <f>SUM(C72:C77)</f>
        <v>1075258.78</v>
      </c>
      <c r="D78" s="130">
        <f>SUM(D72:D77)</f>
        <v>9835.66</v>
      </c>
      <c r="E78" s="130">
        <f>SUM(E72:E77)</f>
        <v>39685.629999999997</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12558240.1</v>
      </c>
      <c r="D81" s="130">
        <f>SUM(D79:D80)+D78+D70</f>
        <v>9835.66</v>
      </c>
      <c r="E81" s="130">
        <f>SUM(E79:E80)+E78+E70</f>
        <v>39685.629999999997</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90187.18</v>
      </c>
      <c r="D88" s="95">
        <f>SUM('DOE25'!G153:G161)</f>
        <v>135305.06</v>
      </c>
      <c r="E88" s="95">
        <f>SUM('DOE25'!H153:H161)</f>
        <v>689592.02</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90187.18</v>
      </c>
      <c r="D91" s="131">
        <f>SUM(D85:D90)</f>
        <v>135305.06</v>
      </c>
      <c r="E91" s="131">
        <f>SUM(E85:E90)</f>
        <v>689592.02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37.35</v>
      </c>
      <c r="E96" s="95">
        <f>'DOE25'!H179</f>
        <v>0</v>
      </c>
      <c r="F96" s="95">
        <f>'DOE25'!I179</f>
        <v>0</v>
      </c>
      <c r="G96" s="95">
        <f>'DOE25'!J179</f>
        <v>100000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33500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33500</v>
      </c>
      <c r="D103" s="86">
        <f>SUM(D93:D102)</f>
        <v>37.35</v>
      </c>
      <c r="E103" s="86">
        <f>SUM(E93:E102)</f>
        <v>0</v>
      </c>
      <c r="F103" s="86">
        <f>SUM(F93:F102)</f>
        <v>0</v>
      </c>
      <c r="G103" s="86">
        <f>SUM(G93:G102)</f>
        <v>100000</v>
      </c>
    </row>
    <row r="104" spans="1:7" ht="12.75" thickTop="1" thickBot="1" x14ac:dyDescent="0.25">
      <c r="A104" s="33" t="s">
        <v>761</v>
      </c>
      <c r="C104" s="86">
        <f>C63+C81+C91+C103</f>
        <v>52085694.5</v>
      </c>
      <c r="D104" s="86">
        <f>D63+D81+D91+D103</f>
        <v>837030.16</v>
      </c>
      <c r="E104" s="86">
        <f>E63+E81+E91+E103</f>
        <v>1165876.48</v>
      </c>
      <c r="F104" s="86">
        <f>F63+F81+F91+F103</f>
        <v>313981.65000000002</v>
      </c>
      <c r="G104" s="86">
        <f>G63+G81+G103</f>
        <v>100052.83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18643244.109999999</v>
      </c>
      <c r="D109" s="24" t="s">
        <v>288</v>
      </c>
      <c r="E109" s="95">
        <f>('DOE25'!L276)+('DOE25'!L295)+('DOE25'!L314)</f>
        <v>23414.54</v>
      </c>
      <c r="F109" s="24" t="s">
        <v>288</v>
      </c>
      <c r="G109" s="24" t="s">
        <v>288</v>
      </c>
    </row>
    <row r="110" spans="1:7" x14ac:dyDescent="0.2">
      <c r="A110" t="s">
        <v>198</v>
      </c>
      <c r="B110" s="32" t="s">
        <v>199</v>
      </c>
      <c r="C110" s="95">
        <f>('DOE25'!L198)+('DOE25'!L216)+('DOE25'!L234)</f>
        <v>8349426.0900000017</v>
      </c>
      <c r="D110" s="24" t="s">
        <v>288</v>
      </c>
      <c r="E110" s="95">
        <f>('DOE25'!L277)+('DOE25'!L296)+('DOE25'!L315)</f>
        <v>623419.82999999984</v>
      </c>
      <c r="F110" s="24" t="s">
        <v>288</v>
      </c>
      <c r="G110" s="24" t="s">
        <v>288</v>
      </c>
    </row>
    <row r="111" spans="1:7" x14ac:dyDescent="0.2">
      <c r="A111" t="s">
        <v>200</v>
      </c>
      <c r="B111" s="32" t="s">
        <v>165</v>
      </c>
      <c r="C111" s="95">
        <f>('DOE25'!L199)+('DOE25'!L217)+('DOE25'!L235)</f>
        <v>135864.34</v>
      </c>
      <c r="D111" s="24" t="s">
        <v>288</v>
      </c>
      <c r="E111" s="95">
        <f>('DOE25'!L278)+('DOE25'!L297)+('DOE25'!L316)</f>
        <v>0</v>
      </c>
      <c r="F111" s="24" t="s">
        <v>288</v>
      </c>
      <c r="G111" s="24" t="s">
        <v>288</v>
      </c>
    </row>
    <row r="112" spans="1:7" x14ac:dyDescent="0.2">
      <c r="A112" t="s">
        <v>201</v>
      </c>
      <c r="B112" s="32" t="s">
        <v>167</v>
      </c>
      <c r="C112" s="95">
        <f>('DOE25'!L200)+('DOE25'!L218)+('DOE25'!L236)</f>
        <v>1111284.7200000002</v>
      </c>
      <c r="D112" s="24" t="s">
        <v>288</v>
      </c>
      <c r="E112" s="95">
        <f>+('DOE25'!L279)+('DOE25'!L298)+('DOE25'!L317)</f>
        <v>122161.71</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28239819.260000002</v>
      </c>
      <c r="D115" s="86">
        <f>SUM(D109:D114)</f>
        <v>0</v>
      </c>
      <c r="E115" s="86">
        <f>SUM(E109:E114)</f>
        <v>768996.07999999984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4312134.0999999996</v>
      </c>
      <c r="D118" s="24" t="s">
        <v>288</v>
      </c>
      <c r="E118" s="95">
        <f>+('DOE25'!L281)+('DOE25'!L300)+('DOE25'!L319)</f>
        <v>54400.68</v>
      </c>
      <c r="F118" s="24" t="s">
        <v>288</v>
      </c>
      <c r="G118" s="24" t="s">
        <v>288</v>
      </c>
    </row>
    <row r="119" spans="1:7" x14ac:dyDescent="0.2">
      <c r="A119" t="s">
        <v>208</v>
      </c>
      <c r="B119" s="32" t="s">
        <v>209</v>
      </c>
      <c r="C119" s="95">
        <f>('DOE25'!L203)+('DOE25'!L221)+('DOE25'!L239)</f>
        <v>2424910.7300000004</v>
      </c>
      <c r="D119" s="24" t="s">
        <v>288</v>
      </c>
      <c r="E119" s="95">
        <f>+('DOE25'!L282)+('DOE25'!L301)+('DOE25'!L320)</f>
        <v>62134.000000000007</v>
      </c>
      <c r="F119" s="24" t="s">
        <v>288</v>
      </c>
      <c r="G119" s="24" t="s">
        <v>288</v>
      </c>
    </row>
    <row r="120" spans="1:7" x14ac:dyDescent="0.2">
      <c r="A120" t="s">
        <v>210</v>
      </c>
      <c r="B120" s="32" t="s">
        <v>211</v>
      </c>
      <c r="C120" s="95">
        <f>('DOE25'!L204)+('DOE25'!L222)+('DOE25'!L240)</f>
        <v>2107190.2399999998</v>
      </c>
      <c r="D120" s="24" t="s">
        <v>288</v>
      </c>
      <c r="E120" s="95">
        <f>+('DOE25'!L283)+('DOE25'!L302)+('DOE25'!L321)</f>
        <v>0</v>
      </c>
      <c r="F120" s="24" t="s">
        <v>288</v>
      </c>
      <c r="G120" s="24" t="s">
        <v>288</v>
      </c>
    </row>
    <row r="121" spans="1:7" x14ac:dyDescent="0.2">
      <c r="A121" t="s">
        <v>212</v>
      </c>
      <c r="B121" s="32" t="s">
        <v>213</v>
      </c>
      <c r="C121" s="95">
        <f>('DOE25'!L205)+('DOE25'!L223)+('DOE25'!L241)</f>
        <v>1887307.6199999999</v>
      </c>
      <c r="D121" s="24" t="s">
        <v>288</v>
      </c>
      <c r="E121" s="95">
        <f>+('DOE25'!L284)+('DOE25'!L303)+('DOE25'!L322)</f>
        <v>5173.18</v>
      </c>
      <c r="F121" s="24" t="s">
        <v>288</v>
      </c>
      <c r="G121" s="24" t="s">
        <v>288</v>
      </c>
    </row>
    <row r="122" spans="1:7" x14ac:dyDescent="0.2">
      <c r="A122" t="s">
        <v>214</v>
      </c>
      <c r="B122" s="32" t="s">
        <v>215</v>
      </c>
      <c r="C122" s="95">
        <f>('DOE25'!L206)+('DOE25'!L224)+('DOE25'!L242)</f>
        <v>1214429.3400000001</v>
      </c>
      <c r="D122" s="24" t="s">
        <v>288</v>
      </c>
      <c r="E122" s="95">
        <f>+('DOE25'!L285)+('DOE25'!L304)+('DOE25'!L323)</f>
        <v>0</v>
      </c>
      <c r="F122" s="24" t="s">
        <v>288</v>
      </c>
      <c r="G122" s="24" t="s">
        <v>288</v>
      </c>
    </row>
    <row r="123" spans="1:7" x14ac:dyDescent="0.2">
      <c r="A123" t="s">
        <v>216</v>
      </c>
      <c r="B123" s="32" t="s">
        <v>217</v>
      </c>
      <c r="C123" s="95">
        <f>('DOE25'!L207)+('DOE25'!L225)+('DOE25'!L243)</f>
        <v>2880884.6500000004</v>
      </c>
      <c r="D123" s="24" t="s">
        <v>288</v>
      </c>
      <c r="E123" s="95">
        <f>+('DOE25'!L286)+('DOE25'!L305)+('DOE25'!L324)</f>
        <v>41548.479999999996</v>
      </c>
      <c r="F123" s="24" t="s">
        <v>288</v>
      </c>
      <c r="G123" s="24" t="s">
        <v>288</v>
      </c>
    </row>
    <row r="124" spans="1:7" x14ac:dyDescent="0.2">
      <c r="A124" t="s">
        <v>218</v>
      </c>
      <c r="B124" s="32" t="s">
        <v>219</v>
      </c>
      <c r="C124" s="95">
        <f>('DOE25'!L208)+('DOE25'!L226)+('DOE25'!L244+'DOE25'!L254)</f>
        <v>2537877.4900000002</v>
      </c>
      <c r="D124" s="24" t="s">
        <v>288</v>
      </c>
      <c r="E124" s="95">
        <f>+('DOE25'!L287)+('DOE25'!L306)+('DOE25'!L325)</f>
        <v>0</v>
      </c>
      <c r="F124" s="24" t="s">
        <v>288</v>
      </c>
      <c r="G124" s="24" t="s">
        <v>288</v>
      </c>
    </row>
    <row r="125" spans="1:7" x14ac:dyDescent="0.2">
      <c r="A125" t="s">
        <v>220</v>
      </c>
      <c r="B125" s="32" t="s">
        <v>221</v>
      </c>
      <c r="C125" s="95">
        <f>('DOE25'!L209)+('DOE25'!L227)+('DOE25'!L245)</f>
        <v>93142.75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970347.58000000007</v>
      </c>
      <c r="E127" s="24" t="s">
        <v>288</v>
      </c>
      <c r="F127" s="24" t="s">
        <v>288</v>
      </c>
      <c r="G127" s="24" t="s">
        <v>288</v>
      </c>
    </row>
    <row r="128" spans="1:7" ht="12.75" thickTop="1" thickBot="1" x14ac:dyDescent="0.25">
      <c r="A128" s="33" t="s">
        <v>226</v>
      </c>
      <c r="C128" s="86">
        <f>SUM(C118:C127)</f>
        <v>17457876.920000002</v>
      </c>
      <c r="D128" s="86">
        <f>SUM(D118:D127)</f>
        <v>970347.58000000007</v>
      </c>
      <c r="E128" s="86">
        <f>SUM(E118:E127)</f>
        <v>163256.34000000003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199146</v>
      </c>
      <c r="D130" s="24" t="s">
        <v>288</v>
      </c>
      <c r="E130" s="129">
        <f>'DOE25'!L336</f>
        <v>0</v>
      </c>
      <c r="F130" s="129">
        <f>SUM('DOE25'!L374:'DOE25'!L380)</f>
        <v>19156247.459999997</v>
      </c>
      <c r="G130" s="24" t="s">
        <v>288</v>
      </c>
    </row>
    <row r="131" spans="1:7" x14ac:dyDescent="0.2">
      <c r="A131" t="s">
        <v>229</v>
      </c>
      <c r="B131" s="32">
        <v>5110</v>
      </c>
      <c r="C131" s="95">
        <f>'DOE25'!L260</f>
        <v>3777800</v>
      </c>
      <c r="D131" s="24" t="s">
        <v>288</v>
      </c>
      <c r="E131" s="129">
        <f>'DOE25'!L341</f>
        <v>0</v>
      </c>
      <c r="F131" s="24" t="s">
        <v>288</v>
      </c>
      <c r="G131" s="24" t="s">
        <v>288</v>
      </c>
    </row>
    <row r="132" spans="1:7" x14ac:dyDescent="0.2">
      <c r="A132" t="s">
        <v>230</v>
      </c>
      <c r="B132" s="32">
        <v>5120</v>
      </c>
      <c r="C132" s="95">
        <f>'DOE25'!L261</f>
        <v>1904816.4</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33500</v>
      </c>
    </row>
    <row r="135" spans="1:7" x14ac:dyDescent="0.2">
      <c r="A135" t="s">
        <v>233</v>
      </c>
      <c r="B135" s="32" t="s">
        <v>234</v>
      </c>
      <c r="C135" s="95">
        <f>'DOE25'!L263</f>
        <v>37.35</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3.5</v>
      </c>
      <c r="D138" s="24" t="s">
        <v>288</v>
      </c>
      <c r="E138" s="24" t="s">
        <v>288</v>
      </c>
      <c r="F138" s="24" t="s">
        <v>288</v>
      </c>
      <c r="G138" s="24" t="s">
        <v>288</v>
      </c>
    </row>
    <row r="139" spans="1:7" x14ac:dyDescent="0.2">
      <c r="A139" t="s">
        <v>239</v>
      </c>
      <c r="B139" s="32">
        <v>5252</v>
      </c>
      <c r="C139" s="95">
        <f>'DOE25'!L401</f>
        <v>100049.33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-52.830000000001746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5981799.75</v>
      </c>
      <c r="D144" s="141">
        <f>SUM(D130:D143)</f>
        <v>0</v>
      </c>
      <c r="E144" s="141">
        <f>SUM(E130:E143)</f>
        <v>0</v>
      </c>
      <c r="F144" s="141">
        <f>SUM(F130:F143)</f>
        <v>19156247.459999997</v>
      </c>
      <c r="G144" s="141">
        <f>SUM(G130:G143)</f>
        <v>33500</v>
      </c>
    </row>
    <row r="145" spans="1:9" ht="12.75" thickTop="1" thickBot="1" x14ac:dyDescent="0.25">
      <c r="A145" s="33" t="s">
        <v>244</v>
      </c>
      <c r="C145" s="86">
        <f>(C115+C128+C144)</f>
        <v>51679495.930000007</v>
      </c>
      <c r="D145" s="86">
        <f>(D115+D128+D144)</f>
        <v>970347.58000000007</v>
      </c>
      <c r="E145" s="86">
        <f>(E115+E128+E144)</f>
        <v>932252.41999999993</v>
      </c>
      <c r="F145" s="86">
        <f>(F115+F128+F144)</f>
        <v>19156247.459999997</v>
      </c>
      <c r="G145" s="86">
        <f>(G115+G128+G144)</f>
        <v>33500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11</v>
      </c>
      <c r="C151" s="153">
        <f>'DOE25'!G490</f>
        <v>20</v>
      </c>
      <c r="D151" s="153">
        <f>'DOE25'!H490</f>
        <v>0</v>
      </c>
      <c r="E151" s="153">
        <f>'DOE25'!I490</f>
        <v>0</v>
      </c>
      <c r="F151" s="153">
        <f>'DOE25'!J490</f>
        <v>0</v>
      </c>
      <c r="G151" s="24" t="s">
        <v>288</v>
      </c>
    </row>
    <row r="152" spans="1:9" x14ac:dyDescent="0.2">
      <c r="A152" s="136" t="s">
        <v>28</v>
      </c>
      <c r="B152" s="152" t="str">
        <f>'DOE25'!F491</f>
        <v>Refi 01/15/15</v>
      </c>
      <c r="C152" s="152" t="str">
        <f>'DOE25'!G491</f>
        <v>8/2017</v>
      </c>
      <c r="D152" s="152">
        <f>'DOE25'!H491</f>
        <v>0</v>
      </c>
      <c r="E152" s="152">
        <f>'DOE25'!I491</f>
        <v>0</v>
      </c>
      <c r="F152" s="152">
        <f>'DOE25'!J491</f>
        <v>0</v>
      </c>
      <c r="G152" s="24" t="s">
        <v>288</v>
      </c>
    </row>
    <row r="153" spans="1:9" x14ac:dyDescent="0.2">
      <c r="A153" s="136" t="s">
        <v>29</v>
      </c>
      <c r="B153" s="152" t="str">
        <f>'DOE25'!F492</f>
        <v>7/2025</v>
      </c>
      <c r="C153" s="152" t="str">
        <f>'DOE25'!G492</f>
        <v>8/2037</v>
      </c>
      <c r="D153" s="152">
        <f>'DOE25'!H492</f>
        <v>0</v>
      </c>
      <c r="E153" s="152">
        <f>'DOE25'!I492</f>
        <v>0</v>
      </c>
      <c r="F153" s="152">
        <f>'DOE25'!J492</f>
        <v>0</v>
      </c>
      <c r="G153" s="24" t="s">
        <v>288</v>
      </c>
    </row>
    <row r="154" spans="1:9" x14ac:dyDescent="0.2">
      <c r="A154" s="136" t="s">
        <v>30</v>
      </c>
      <c r="B154" s="137">
        <f>'DOE25'!F493</f>
        <v>19305000</v>
      </c>
      <c r="C154" s="137">
        <f>'DOE25'!G493</f>
        <v>38107102</v>
      </c>
      <c r="D154" s="137">
        <f>'DOE25'!H493</f>
        <v>0</v>
      </c>
      <c r="E154" s="137">
        <f>'DOE25'!I493</f>
        <v>0</v>
      </c>
      <c r="F154" s="137">
        <f>'DOE25'!J493</f>
        <v>0</v>
      </c>
      <c r="G154" s="24" t="s">
        <v>288</v>
      </c>
    </row>
    <row r="155" spans="1:9" x14ac:dyDescent="0.2">
      <c r="A155" s="136" t="s">
        <v>31</v>
      </c>
      <c r="B155" s="137">
        <f>'DOE25'!F494</f>
        <v>3</v>
      </c>
      <c r="C155" s="137">
        <f>'DOE25'!G494</f>
        <v>2.67</v>
      </c>
      <c r="D155" s="137">
        <f>'DOE25'!H494</f>
        <v>0</v>
      </c>
      <c r="E155" s="137">
        <f>'DOE25'!I494</f>
        <v>0</v>
      </c>
      <c r="F155" s="137">
        <f>'DOE25'!J494</f>
        <v>0</v>
      </c>
      <c r="G155" s="24" t="s">
        <v>288</v>
      </c>
    </row>
    <row r="156" spans="1:9" x14ac:dyDescent="0.2">
      <c r="A156" s="22" t="s">
        <v>32</v>
      </c>
      <c r="B156" s="137">
        <f>'DOE25'!F495</f>
        <v>0</v>
      </c>
      <c r="C156" s="137">
        <f>'DOE25'!G495</f>
        <v>32305000</v>
      </c>
      <c r="D156" s="137">
        <f>'DOE25'!H495</f>
        <v>0</v>
      </c>
      <c r="E156" s="137">
        <f>'DOE25'!I495</f>
        <v>0</v>
      </c>
      <c r="F156" s="137">
        <f>'DOE25'!J495</f>
        <v>0</v>
      </c>
      <c r="G156" s="138">
        <f>SUM(B156:F156)</f>
        <v>32305000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1700000</v>
      </c>
      <c r="C158" s="137">
        <f>'DOE25'!G497</f>
        <v>1707800</v>
      </c>
      <c r="D158" s="137">
        <f>'DOE25'!H497</f>
        <v>0</v>
      </c>
      <c r="E158" s="137">
        <f>'DOE25'!I497</f>
        <v>0</v>
      </c>
      <c r="F158" s="137">
        <f>'DOE25'!J497</f>
        <v>0</v>
      </c>
      <c r="G158" s="138">
        <f t="shared" si="0"/>
        <v>3407800</v>
      </c>
    </row>
    <row r="159" spans="1:9" x14ac:dyDescent="0.2">
      <c r="A159" s="22" t="s">
        <v>35</v>
      </c>
      <c r="B159" s="137">
        <f>'DOE25'!F498</f>
        <v>11900000</v>
      </c>
      <c r="C159" s="137">
        <f>'DOE25'!G498</f>
        <v>32305000</v>
      </c>
      <c r="D159" s="137">
        <f>'DOE25'!H498</f>
        <v>0</v>
      </c>
      <c r="E159" s="137">
        <f>'DOE25'!I498</f>
        <v>0</v>
      </c>
      <c r="F159" s="137">
        <f>'DOE25'!J498</f>
        <v>0</v>
      </c>
      <c r="G159" s="138">
        <f t="shared" si="0"/>
        <v>44205000</v>
      </c>
    </row>
    <row r="160" spans="1:9" x14ac:dyDescent="0.2">
      <c r="A160" s="22" t="s">
        <v>36</v>
      </c>
      <c r="B160" s="137">
        <f>'DOE25'!F499</f>
        <v>1627750</v>
      </c>
      <c r="C160" s="137">
        <f>'DOE25'!G499</f>
        <v>12028447.5</v>
      </c>
      <c r="D160" s="137">
        <f>'DOE25'!H499</f>
        <v>0</v>
      </c>
      <c r="E160" s="137">
        <f>'DOE25'!I499</f>
        <v>0</v>
      </c>
      <c r="F160" s="137">
        <f>'DOE25'!J499</f>
        <v>0</v>
      </c>
      <c r="G160" s="138">
        <f t="shared" si="0"/>
        <v>13656197.5</v>
      </c>
    </row>
    <row r="161" spans="1:7" x14ac:dyDescent="0.2">
      <c r="A161" s="22" t="s">
        <v>37</v>
      </c>
      <c r="B161" s="137">
        <f>'DOE25'!F500</f>
        <v>13527750</v>
      </c>
      <c r="C161" s="137">
        <f>'DOE25'!G500</f>
        <v>44333447.5</v>
      </c>
      <c r="D161" s="137">
        <f>'DOE25'!H500</f>
        <v>0</v>
      </c>
      <c r="E161" s="137">
        <f>'DOE25'!I500</f>
        <v>0</v>
      </c>
      <c r="F161" s="137">
        <f>'DOE25'!J500</f>
        <v>0</v>
      </c>
      <c r="G161" s="138">
        <f t="shared" si="0"/>
        <v>57861197.5</v>
      </c>
    </row>
    <row r="162" spans="1:7" x14ac:dyDescent="0.2">
      <c r="A162" s="22" t="s">
        <v>38</v>
      </c>
      <c r="B162" s="137">
        <f>'DOE25'!F501</f>
        <v>1700000</v>
      </c>
      <c r="C162" s="137">
        <f>'DOE25'!G501</f>
        <v>1705000</v>
      </c>
      <c r="D162" s="137">
        <f>'DOE25'!H501</f>
        <v>0</v>
      </c>
      <c r="E162" s="137">
        <f>'DOE25'!I501</f>
        <v>0</v>
      </c>
      <c r="F162" s="137">
        <f>'DOE25'!J501</f>
        <v>0</v>
      </c>
      <c r="G162" s="138">
        <f t="shared" si="0"/>
        <v>3405000</v>
      </c>
    </row>
    <row r="163" spans="1:7" x14ac:dyDescent="0.2">
      <c r="A163" s="22" t="s">
        <v>39</v>
      </c>
      <c r="B163" s="137">
        <f>'DOE25'!F502</f>
        <v>391000</v>
      </c>
      <c r="C163" s="137">
        <f>'DOE25'!G502</f>
        <v>1366077.5</v>
      </c>
      <c r="D163" s="137">
        <f>'DOE25'!H502</f>
        <v>0</v>
      </c>
      <c r="E163" s="137">
        <f>'DOE25'!I502</f>
        <v>0</v>
      </c>
      <c r="F163" s="137">
        <f>'DOE25'!J502</f>
        <v>0</v>
      </c>
      <c r="G163" s="138">
        <f t="shared" si="0"/>
        <v>1757077.5</v>
      </c>
    </row>
    <row r="164" spans="1:7" x14ac:dyDescent="0.2">
      <c r="A164" s="22" t="s">
        <v>246</v>
      </c>
      <c r="B164" s="137">
        <f>'DOE25'!F503</f>
        <v>2091000</v>
      </c>
      <c r="C164" s="137">
        <f>'DOE25'!G503</f>
        <v>3071077.5</v>
      </c>
      <c r="D164" s="137">
        <f>'DOE25'!H503</f>
        <v>0</v>
      </c>
      <c r="E164" s="137">
        <f>'DOE25'!I503</f>
        <v>0</v>
      </c>
      <c r="F164" s="137">
        <f>'DOE25'!J503</f>
        <v>0</v>
      </c>
      <c r="G164" s="138">
        <f t="shared" si="0"/>
        <v>5162077.5</v>
      </c>
    </row>
  </sheetData>
  <sheetProtection password="930A" sheet="1" objects="1" scenarios="1"/>
  <phoneticPr fontId="0" type="noConversion"/>
  <printOptions gridLines="1" gridLinesSet="0"/>
  <pageMargins left="0.75" right="0.75" top="1" bottom="1" header="0.5" footer="0.5"/>
  <pageSetup scale="90" orientation="landscape" horizontalDpi="4294967295" verticalDpi="4294967295"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D49" sqref="D49"/>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Windham</v>
      </c>
    </row>
    <row r="3" spans="1:4" x14ac:dyDescent="0.2">
      <c r="B3" s="188" t="s">
        <v>1602</v>
      </c>
    </row>
    <row r="4" spans="1:4" x14ac:dyDescent="0.2">
      <c r="B4" t="s">
        <v>61</v>
      </c>
      <c r="C4" s="179">
        <f>IF('DOE25'!F665+'DOE25'!F670=0,0,ROUND('DOE25'!F672,0))</f>
        <v>14267</v>
      </c>
    </row>
    <row r="5" spans="1:4" x14ac:dyDescent="0.2">
      <c r="B5" t="s">
        <v>700</v>
      </c>
      <c r="C5" s="179">
        <f>IF('DOE25'!G665+'DOE25'!G670=0,0,ROUND('DOE25'!G672,0))</f>
        <v>0</v>
      </c>
    </row>
    <row r="6" spans="1:4" x14ac:dyDescent="0.2">
      <c r="B6" t="s">
        <v>62</v>
      </c>
      <c r="C6" s="179">
        <f>IF('DOE25'!H665+'DOE25'!H670=0,0,ROUND('DOE25'!H672,0))</f>
        <v>15401</v>
      </c>
    </row>
    <row r="7" spans="1:4" x14ac:dyDescent="0.2">
      <c r="B7" t="s">
        <v>701</v>
      </c>
      <c r="C7" s="179">
        <f>IF('DOE25'!I665+'DOE25'!I670=0,0,ROUND('DOE25'!I672,0))</f>
        <v>14631</v>
      </c>
    </row>
    <row r="9" spans="1:4" x14ac:dyDescent="0.2">
      <c r="A9" s="187" t="s">
        <v>94</v>
      </c>
      <c r="B9" s="188" t="s">
        <v>1603</v>
      </c>
      <c r="C9" s="181" t="s">
        <v>720</v>
      </c>
      <c r="D9" s="181" t="s">
        <v>721</v>
      </c>
    </row>
    <row r="10" spans="1:4" x14ac:dyDescent="0.2">
      <c r="A10">
        <v>1100</v>
      </c>
      <c r="B10" t="s">
        <v>702</v>
      </c>
      <c r="C10" s="179">
        <f>ROUND('DOE25'!L197+'DOE25'!L215+'DOE25'!L233+'DOE25'!L276+'DOE25'!L295+'DOE25'!L314,0)</f>
        <v>18666659</v>
      </c>
      <c r="D10" s="182">
        <f>ROUND((C10/$C$28)*100,1)</f>
        <v>38.200000000000003</v>
      </c>
    </row>
    <row r="11" spans="1:4" x14ac:dyDescent="0.2">
      <c r="A11">
        <v>1200</v>
      </c>
      <c r="B11" t="s">
        <v>703</v>
      </c>
      <c r="C11" s="179">
        <f>ROUND('DOE25'!L198+'DOE25'!L216+'DOE25'!L234+'DOE25'!L277+'DOE25'!L296+'DOE25'!L315,0)</f>
        <v>8972846</v>
      </c>
      <c r="D11" s="182">
        <f>ROUND((C11/$C$28)*100,1)</f>
        <v>18.399999999999999</v>
      </c>
    </row>
    <row r="12" spans="1:4" x14ac:dyDescent="0.2">
      <c r="A12">
        <v>1300</v>
      </c>
      <c r="B12" t="s">
        <v>704</v>
      </c>
      <c r="C12" s="179">
        <f>ROUND('DOE25'!L199+'DOE25'!L217+'DOE25'!L235+'DOE25'!L278+'DOE25'!L297+'DOE25'!L316,0)</f>
        <v>135864</v>
      </c>
      <c r="D12" s="182">
        <f>ROUND((C12/$C$28)*100,1)</f>
        <v>0.3</v>
      </c>
    </row>
    <row r="13" spans="1:4" x14ac:dyDescent="0.2">
      <c r="A13">
        <v>1400</v>
      </c>
      <c r="B13" t="s">
        <v>705</v>
      </c>
      <c r="C13" s="179">
        <f>ROUND('DOE25'!L200+'DOE25'!L218+'DOE25'!L236+'DOE25'!L279+'DOE25'!L298+'DOE25'!L317,0)</f>
        <v>1233446</v>
      </c>
      <c r="D13" s="182">
        <f>ROUND((C13/$C$28)*100,1)</f>
        <v>2.5</v>
      </c>
    </row>
    <row r="14" spans="1:4" x14ac:dyDescent="0.2">
      <c r="D14" s="182"/>
    </row>
    <row r="15" spans="1:4" x14ac:dyDescent="0.2">
      <c r="A15">
        <v>2100</v>
      </c>
      <c r="B15" t="s">
        <v>706</v>
      </c>
      <c r="C15" s="179">
        <f>ROUND('DOE25'!L202+'DOE25'!L220+'DOE25'!L238+'DOE25'!L281+'DOE25'!L300+'DOE25'!L319,0)</f>
        <v>4366535</v>
      </c>
      <c r="D15" s="182">
        <f t="shared" ref="D15:D27" si="0">ROUND((C15/$C$28)*100,1)</f>
        <v>8.9</v>
      </c>
    </row>
    <row r="16" spans="1:4" x14ac:dyDescent="0.2">
      <c r="A16">
        <v>2200</v>
      </c>
      <c r="B16" t="s">
        <v>707</v>
      </c>
      <c r="C16" s="179">
        <f>ROUND('DOE25'!L203+'DOE25'!L221+'DOE25'!L239+'DOE25'!L282+'DOE25'!L301+'DOE25'!L320,0)</f>
        <v>2487045</v>
      </c>
      <c r="D16" s="182">
        <f t="shared" si="0"/>
        <v>5.0999999999999996</v>
      </c>
    </row>
    <row r="17" spans="1:4" x14ac:dyDescent="0.2">
      <c r="A17" s="183" t="s">
        <v>723</v>
      </c>
      <c r="B17" t="s">
        <v>738</v>
      </c>
      <c r="C17" s="179">
        <f>ROUND('DOE25'!L204+'DOE25'!L209+'DOE25'!L222+'DOE25'!L227+'DOE25'!L240+'DOE25'!L245+'DOE25'!L283+'DOE25'!L288+'DOE25'!L302+'DOE25'!L307+'DOE25'!L321+'DOE25'!L326,0)</f>
        <v>2200333</v>
      </c>
      <c r="D17" s="182">
        <f t="shared" si="0"/>
        <v>4.5</v>
      </c>
    </row>
    <row r="18" spans="1:4" x14ac:dyDescent="0.2">
      <c r="A18">
        <v>2400</v>
      </c>
      <c r="B18" t="s">
        <v>711</v>
      </c>
      <c r="C18" s="179">
        <f>ROUND('DOE25'!L205+'DOE25'!L223+'DOE25'!L241+'DOE25'!L284+'DOE25'!L303+'DOE25'!L322,0)</f>
        <v>1892481</v>
      </c>
      <c r="D18" s="182">
        <f t="shared" si="0"/>
        <v>3.9</v>
      </c>
    </row>
    <row r="19" spans="1:4" x14ac:dyDescent="0.2">
      <c r="A19">
        <v>2500</v>
      </c>
      <c r="B19" t="s">
        <v>708</v>
      </c>
      <c r="C19" s="179">
        <f>ROUND('DOE25'!L206+'DOE25'!L224+'DOE25'!L242+'DOE25'!L285+'DOE25'!L304+'DOE25'!L323,0)</f>
        <v>1214429</v>
      </c>
      <c r="D19" s="182">
        <f t="shared" si="0"/>
        <v>2.5</v>
      </c>
    </row>
    <row r="20" spans="1:4" x14ac:dyDescent="0.2">
      <c r="A20">
        <v>2600</v>
      </c>
      <c r="B20" t="s">
        <v>709</v>
      </c>
      <c r="C20" s="179">
        <f>ROUND('DOE25'!L207+'DOE25'!L225+'DOE25'!L243+'DOE25'!L286+'DOE25'!L305+'DOE25'!L324,0)</f>
        <v>2922433</v>
      </c>
      <c r="D20" s="182">
        <f t="shared" si="0"/>
        <v>6</v>
      </c>
    </row>
    <row r="21" spans="1:4" x14ac:dyDescent="0.2">
      <c r="A21">
        <v>2700</v>
      </c>
      <c r="B21" t="s">
        <v>710</v>
      </c>
      <c r="C21" s="179">
        <f>ROUND('DOE25'!L208+'DOE25'!L226+'DOE25'!L244+'DOE25'!L287+'DOE25'!L306+'DOE25'!L325,0)</f>
        <v>2537877</v>
      </c>
      <c r="D21" s="182">
        <f t="shared" si="0"/>
        <v>5.2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1904816</v>
      </c>
      <c r="D25" s="182">
        <f t="shared" si="0"/>
        <v>3.9</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278495.91000000003</v>
      </c>
      <c r="D27" s="182">
        <f t="shared" si="0"/>
        <v>0.6</v>
      </c>
    </row>
    <row r="28" spans="1:4" x14ac:dyDescent="0.2">
      <c r="B28" s="187" t="s">
        <v>719</v>
      </c>
      <c r="C28" s="180">
        <f>SUM(C10:C27)</f>
        <v>48813259.909999996</v>
      </c>
      <c r="D28" s="184">
        <f>ROUND(SUM(D10:D27),0)</f>
        <v>100</v>
      </c>
    </row>
    <row r="29" spans="1:4" x14ac:dyDescent="0.2">
      <c r="A29">
        <v>4000</v>
      </c>
      <c r="B29" t="s">
        <v>724</v>
      </c>
      <c r="C29" s="179">
        <f>ROUND('DOE25'!L255+'DOE25'!L336+'DOE25'!L374+'DOE25'!L375+'DOE25'!L376+'DOE25'!L377+'DOE25'!L378+'DOE25'!L379+'DOE25'!L380,0)</f>
        <v>19355393</v>
      </c>
    </row>
    <row r="30" spans="1:4" x14ac:dyDescent="0.2">
      <c r="B30" s="187" t="s">
        <v>725</v>
      </c>
      <c r="C30" s="180">
        <f>SUM(C28:C29)</f>
        <v>68168652.909999996</v>
      </c>
    </row>
    <row r="31" spans="1:4" x14ac:dyDescent="0.2">
      <c r="B31" s="33"/>
      <c r="C31" s="180"/>
    </row>
    <row r="32" spans="1:4" x14ac:dyDescent="0.2">
      <c r="A32">
        <v>5100</v>
      </c>
      <c r="B32" s="33" t="s">
        <v>726</v>
      </c>
      <c r="C32" s="180">
        <f>ROUND('DOE25'!L260+'DOE25'!L341,0)</f>
        <v>3777800</v>
      </c>
    </row>
    <row r="34" spans="1:4" x14ac:dyDescent="0.2">
      <c r="A34" s="187" t="s">
        <v>94</v>
      </c>
      <c r="B34" s="188" t="s">
        <v>1604</v>
      </c>
      <c r="C34" s="181" t="s">
        <v>720</v>
      </c>
      <c r="D34" s="181" t="s">
        <v>721</v>
      </c>
    </row>
    <row r="35" spans="1:4" x14ac:dyDescent="0.2">
      <c r="A35">
        <v>1100</v>
      </c>
      <c r="B35" s="185" t="s">
        <v>727</v>
      </c>
      <c r="C35" s="179">
        <f>ROUND('DOE25'!F60+'DOE25'!G60+'DOE25'!H60+'DOE25'!I60+'DOE25'!J60,0)</f>
        <v>38748271</v>
      </c>
      <c r="D35" s="182">
        <f t="shared" ref="D35:D40" si="1">ROUND((C35/$C$41)*100,1)</f>
        <v>72.2</v>
      </c>
    </row>
    <row r="36" spans="1:4" x14ac:dyDescent="0.2">
      <c r="B36" s="185" t="s">
        <v>739</v>
      </c>
      <c r="C36" s="179">
        <f>SUM('DOE25'!F112:J112)-SUM('DOE25'!G97:G110)+('DOE25'!F174+'DOE25'!F175+'DOE25'!I174+'DOE25'!I175)-C35</f>
        <v>1406129.5299999937</v>
      </c>
      <c r="D36" s="182">
        <f t="shared" si="1"/>
        <v>2.6</v>
      </c>
    </row>
    <row r="37" spans="1:4" x14ac:dyDescent="0.2">
      <c r="A37" s="183" t="s">
        <v>835</v>
      </c>
      <c r="B37" s="185" t="s">
        <v>728</v>
      </c>
      <c r="C37" s="179">
        <f>ROUND('DOE25'!F117+'DOE25'!F118,0)</f>
        <v>11475157</v>
      </c>
      <c r="D37" s="182">
        <f t="shared" si="1"/>
        <v>21.4</v>
      </c>
    </row>
    <row r="38" spans="1:4" x14ac:dyDescent="0.2">
      <c r="A38" s="183" t="s">
        <v>734</v>
      </c>
      <c r="B38" s="185" t="s">
        <v>729</v>
      </c>
      <c r="C38" s="179">
        <f>ROUND(SUM('DOE25'!F140:J140)-SUM('DOE25'!F117:F119),0)</f>
        <v>1132604</v>
      </c>
      <c r="D38" s="182">
        <f t="shared" si="1"/>
        <v>2.1</v>
      </c>
    </row>
    <row r="39" spans="1:4" x14ac:dyDescent="0.2">
      <c r="A39">
        <v>4000</v>
      </c>
      <c r="B39" s="185" t="s">
        <v>730</v>
      </c>
      <c r="C39" s="179">
        <f>ROUND('DOE25'!F169+'DOE25'!G169+'DOE25'!H169+'DOE25'!I169,0)</f>
        <v>915084</v>
      </c>
      <c r="D39" s="182">
        <f t="shared" si="1"/>
        <v>1.7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53677245.529999994</v>
      </c>
      <c r="D41" s="184">
        <f>SUM(D35:D40)</f>
        <v>99.999999999999986</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Windham</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v>19</v>
      </c>
      <c r="B4" s="219">
        <v>6</v>
      </c>
      <c r="C4" s="334" t="s">
        <v>1614</v>
      </c>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2019-10-04T15:25:05Z</cp:lastPrinted>
  <dcterms:created xsi:type="dcterms:W3CDTF">1997-12-04T19:04:30Z</dcterms:created>
  <dcterms:modified xsi:type="dcterms:W3CDTF">2019-11-22T16:12:01Z</dcterms:modified>
</cp:coreProperties>
</file>