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205" i="1" l="1"/>
  <c r="H241" i="1"/>
  <c r="H223" i="1"/>
  <c r="F5" i="13" l="1"/>
  <c r="F580" i="1"/>
  <c r="H203" i="1"/>
  <c r="H527" i="1" l="1"/>
  <c r="H522" i="1"/>
  <c r="H282" i="1"/>
  <c r="H278" i="1"/>
  <c r="H13" i="1"/>
  <c r="F466" i="1"/>
  <c r="H234" i="1" l="1"/>
  <c r="H216" i="1"/>
  <c r="H19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J656" i="1" s="1"/>
  <c r="A40" i="12"/>
  <c r="J258" i="1"/>
  <c r="J572" i="1"/>
  <c r="I170" i="1"/>
  <c r="G477" i="1"/>
  <c r="G339" i="1"/>
  <c r="G353" i="1" s="1"/>
  <c r="J140" i="1"/>
  <c r="H140" i="1"/>
  <c r="C11" i="10" l="1"/>
  <c r="H477" i="1"/>
  <c r="H625" i="1" s="1"/>
  <c r="G553" i="1"/>
  <c r="D15" i="13"/>
  <c r="C15" i="13" s="1"/>
  <c r="F258" i="1"/>
  <c r="C120" i="2"/>
  <c r="C91" i="2"/>
  <c r="L402" i="1"/>
  <c r="C139" i="2" s="1"/>
  <c r="G409" i="1"/>
  <c r="H646" i="1" s="1"/>
  <c r="G646" i="1"/>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H661" i="1" s="1"/>
  <c r="H665" i="1" s="1"/>
  <c r="H668" i="1" s="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H649" i="1"/>
  <c r="J653" i="1"/>
  <c r="G572" i="1"/>
  <c r="I435" i="1"/>
  <c r="G435" i="1"/>
  <c r="I664" i="1"/>
  <c r="E145" i="2" l="1"/>
  <c r="F661" i="1"/>
  <c r="F665" i="1" s="1"/>
  <c r="F668" i="1" s="1"/>
  <c r="G36" i="14"/>
  <c r="H36" i="14" s="1"/>
  <c r="I36" i="14" s="1"/>
  <c r="F194" i="1"/>
  <c r="G628" i="1" s="1"/>
  <c r="J628" i="1" s="1"/>
  <c r="C81" i="2"/>
  <c r="E104" i="2"/>
  <c r="C36" i="10"/>
  <c r="L435" i="1"/>
  <c r="G639" i="1" s="1"/>
  <c r="J639"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F673" i="1" l="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<sst xmlns="http://schemas.openxmlformats.org/spreadsheetml/2006/main" count="5544" uniqueCount="1643">
  <si>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</si>
  <si>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</si>
  <si>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</si>
  <si>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</si>
  <si>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</si>
  <si>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</si>
  <si>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</si>
  <si>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</si>
  <si>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</si>
  <si>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</si>
  <si>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</si>
  <si>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</si>
  <si>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</si>
  <si>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</si>
  <si>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</si>
  <si>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</si>
  <si>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</si>
  <si>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</si>
  <si>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</si>
  <si>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</si>
  <si>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</si>
  <si>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</si>
  <si>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</si>
  <si>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</si>
  <si>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</si>
  <si>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</si>
  <si>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</si>
  <si>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</si>
  <si>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</si>
  <si>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</si>
  <si>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</si>
  <si>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</si>
  <si>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</si>
  <si>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</si>
  <si>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</si>
  <si>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</si>
  <si>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</si>
  <si>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</si>
  <si>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</si>
  <si>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</si>
  <si>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</si>
  <si>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</si>
  <si>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</si>
  <si>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</si>
  <si>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</si>
  <si>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</si>
  <si>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</si>
  <si>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</si>
  <si>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</si>
  <si>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</si>
  <si>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</si>
  <si>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</si>
  <si>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</si>
  <si>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</si>
  <si>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</si>
  <si>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</si>
  <si>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</si>
  <si>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</si>
  <si>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</si>
  <si>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</si>
  <si>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</si>
  <si>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</si>
  <si>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</si>
  <si>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</si>
  <si>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</si>
  <si>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</si>
  <si>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</si>
  <si>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</si>
  <si>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</si>
  <si>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</si>
  <si>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</si>
  <si>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</si>
  <si>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</si>
  <si>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</si>
  <si>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</si>
  <si>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</si>
  <si>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</si>
  <si>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</si>
  <si>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</si>
  <si>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</si>
  <si>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</si>
  <si>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</si>
  <si>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</si>
  <si>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</si>
  <si>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</si>
  <si>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</si>
  <si>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</si>
  <si>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</si>
  <si>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</si>
  <si>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</si>
  <si>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</si>
  <si>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</si>
  <si>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</si>
  <si>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</si>
  <si>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</si>
  <si>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</si>
  <si>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</si>
  <si>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</si>
  <si>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</si>
  <si>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</si>
  <si>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</si>
  <si>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</si>
  <si>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</si>
  <si>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</si>
  <si>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</si>
  <si>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</si>
  <si>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</si>
  <si>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</si>
  <si>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</si>
  <si>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</si>
  <si>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</si>
  <si>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</si>
  <si>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</si>
  <si>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</si>
  <si>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</si>
  <si>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</si>
  <si>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</si>
  <si>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</si>
  <si>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</si>
  <si>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</si>
  <si>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</si>
  <si>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</si>
  <si>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</si>
  <si>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</si>
  <si>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</si>
  <si>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</si>
  <si>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</si>
  <si>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</si>
  <si>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</si>
  <si>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</si>
  <si>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</si>
  <si>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</si>
  <si>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</si>
  <si>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</si>
  <si>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</si>
  <si>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</si>
  <si>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</si>
  <si>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</si>
  <si>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</si>
  <si>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</si>
  <si>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</si>
  <si>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</si>
  <si>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</si>
  <si>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</si>
  <si>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</si>
  <si>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</si>
  <si>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</si>
  <si>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</si>
  <si>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</si>
  <si>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</si>
  <si>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</si>
  <si>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</si>
  <si>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</si>
  <si>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</si>
  <si>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</si>
  <si>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</si>
  <si>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</si>
  <si>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</si>
  <si>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</si>
  <si>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</si>
  <si>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</si>
  <si>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</si>
  <si>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</si>
  <si>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</si>
  <si>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</si>
  <si>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</si>
  <si>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</si>
  <si>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</si>
  <si>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</si>
  <si>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</si>
  <si>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</si>
  <si>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</si>
  <si>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</si>
  <si>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</si>
  <si>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</si>
  <si>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</si>
  <si>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</si>
  <si>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</si>
  <si>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</si>
  <si>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</si>
  <si>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</si>
  <si>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</si>
  <si>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</si>
  <si>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</si>
  <si>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</si>
  <si>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</si>
  <si>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</si>
  <si>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</si>
  <si>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</si>
  <si>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</si>
  <si>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</si>
  <si>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</si>
  <si>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</si>
  <si>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</si>
  <si>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</si>
  <si>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</si>
  <si>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</si>
  <si>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</si>
  <si>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</si>
  <si>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</si>
  <si>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</si>
  <si>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</si>
  <si>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</si>
  <si>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</si>
  <si>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</si>
  <si>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</si>
  <si>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</si>
  <si>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</si>
  <si>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</si>
  <si>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</si>
  <si>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</si>
  <si>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</si>
  <si>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</si>
  <si>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</si>
  <si>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</si>
  <si>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</si>
  <si>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</si>
  <si>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</si>
  <si>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</si>
  <si>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</si>
  <si>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</si>
  <si>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</si>
  <si>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</si>
  <si>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</si>
  <si>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</si>
  <si>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</si>
  <si>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</si>
  <si>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</si>
  <si>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</si>
  <si>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</si>
  <si>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</si>
  <si>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</si>
  <si>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</si>
  <si>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</si>
  <si>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</si>
  <si>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</si>
  <si>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</si>
  <si>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</si>
  <si>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</si>
  <si>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</si>
  <si>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</si>
  <si>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</si>
  <si>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</si>
  <si>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</si>
  <si>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</si>
  <si>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</si>
  <si>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</si>
  <si>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</si>
  <si>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</si>
  <si>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</si>
  <si>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</si>
  <si>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</si>
  <si>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</si>
  <si>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</si>
  <si>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</si>
  <si>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</si>
  <si>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</si>
  <si>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</si>
  <si>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</si>
  <si>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</si>
  <si>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</si>
  <si>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</si>
  <si>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</si>
  <si>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</si>
  <si>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</si>
  <si>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</si>
  <si>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</si>
  <si>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</si>
  <si>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</si>
  <si>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</si>
  <si>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</si>
  <si>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</si>
  <si>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</si>
  <si>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</si>
  <si>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</si>
  <si>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</si>
  <si>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</si>
  <si>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</si>
  <si>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</si>
  <si>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</si>
  <si>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</si>
  <si>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</si>
  <si>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</si>
  <si>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</si>
  <si>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</si>
  <si>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</si>
  <si>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</si>
  <si>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</si>
  <si>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</si>
  <si>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</si>
  <si>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</si>
  <si>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</si>
  <si>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</si>
  <si>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</si>
  <si>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</si>
  <si>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</si>
  <si>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</si>
  <si>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</si>
  <si>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</si>
  <si>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</si>
  <si>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</si>
  <si>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</si>
  <si>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</si>
  <si>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</si>
  <si>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</si>
  <si>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</si>
  <si>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</si>
  <si>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</si>
  <si>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</si>
  <si>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</si>
  <si>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</si>
  <si>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</si>
  <si>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</si>
  <si>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</si>
  <si>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</si>
  <si>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</si>
  <si>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</si>
  <si>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</si>
  <si>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</si>
  <si>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</si>
  <si>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</si>
  <si>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</si>
  <si>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</si>
  <si>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</si>
  <si>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</si>
  <si>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</si>
  <si>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</si>
  <si>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</si>
  <si>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</si>
  <si>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</si>
  <si>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</si>
  <si>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</si>
  <si>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</si>
  <si>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</si>
  <si>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</si>
  <si>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</si>
  <si>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</si>
  <si>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</si>
  <si>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</si>
  <si>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</si>
  <si>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</si>
  <si>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</si>
  <si>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</si>
  <si>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</si>
  <si>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</si>
  <si>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</si>
  <si>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</si>
  <si>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</si>
  <si>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</si>
  <si>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</si>
  <si>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</si>
  <si>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</si>
  <si>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</si>
  <si>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</si>
  <si>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</si>
  <si>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</si>
  <si>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</si>
  <si>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</si>
  <si>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</si>
  <si>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</si>
  <si>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</si>
  <si>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</si>
  <si>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</si>
  <si>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</si>
  <si>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</si>
  <si>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</si>
  <si>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</si>
  <si>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</si>
  <si>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</si>
  <si>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</si>
  <si>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</si>
  <si>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</si>
  <si>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</si>
  <si>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</si>
  <si>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</si>
  <si>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</si>
  <si>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</si>
  <si>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</si>
  <si>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</si>
  <si>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</si>
  <si>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</si>
  <si>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</si>
  <si>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</si>
  <si>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</si>
  <si>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</si>
  <si>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</si>
  <si>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</si>
  <si>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</si>
  <si>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</si>
  <si>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</si>
  <si>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</si>
  <si>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</si>
  <si>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</si>
  <si>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</si>
  <si>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</si>
  <si>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</si>
  <si>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</si>
  <si>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</si>
  <si>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</si>
  <si>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</si>
  <si>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</si>
  <si>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</si>
  <si>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</si>
  <si>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</si>
  <si>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</si>
  <si>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</si>
  <si>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</si>
  <si>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</si>
  <si>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</si>
  <si>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</si>
  <si>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</si>
  <si>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</si>
  <si>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</si>
  <si>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</si>
  <si>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</si>
  <si>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</si>
  <si>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</si>
  <si>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</si>
  <si>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</si>
  <si>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</si>
  <si>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</si>
  <si>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</si>
  <si>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</si>
  <si>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</si>
  <si>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</si>
  <si>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</si>
  <si>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</si>
  <si>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</si>
  <si>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</si>
  <si>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</si>
  <si>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</si>
  <si>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</si>
  <si>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</si>
  <si>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</si>
  <si>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</si>
  <si>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</si>
  <si>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</si>
  <si>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</si>
  <si>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</si>
  <si>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</si>
  <si>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</si>
  <si>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</si>
  <si>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</si>
  <si>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</si>
  <si>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</si>
  <si>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</si>
  <si>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</si>
  <si>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</si>
  <si>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</si>
  <si>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</si>
  <si>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</si>
  <si>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</si>
  <si>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</si>
  <si>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</si>
  <si>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</si>
  <si>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</si>
  <si>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</si>
  <si>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</si>
  <si>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</si>
  <si>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</si>
  <si>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</si>
  <si>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</si>
  <si>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</si>
  <si>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</si>
  <si>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</si>
  <si>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</si>
  <si>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</si>
  <si>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</si>
  <si>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</si>
  <si>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</si>
  <si>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</si>
  <si>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</si>
  <si>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</si>
  <si>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</si>
  <si>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</si>
  <si>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</si>
  <si>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</si>
  <si>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</si>
  <si>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</si>
  <si>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</si>
  <si>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</si>
  <si>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</si>
  <si>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</si>
  <si>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</si>
  <si>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</si>
  <si>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</si>
  <si>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</si>
  <si>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</si>
  <si>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</si>
  <si>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</si>
  <si>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</si>
  <si>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</si>
  <si>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</si>
  <si>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</si>
  <si>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</si>
  <si>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</si>
  <si>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</si>
  <si>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</si>
  <si>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</si>
  <si>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</si>
  <si>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</si>
  <si>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</si>
  <si>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</si>
  <si>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</si>
  <si>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</si>
  <si>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</si>
  <si>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</si>
  <si>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</si>
  <si>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</si>
  <si>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</si>
  <si>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</si>
  <si>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</si>
  <si>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</si>
  <si>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</si>
  <si>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</si>
  <si>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</si>
  <si>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</si>
  <si>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</si>
  <si>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</si>
  <si>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</si>
  <si>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</si>
  <si>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</si>
  <si>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</si>
  <si>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</si>
  <si>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</si>
  <si>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</si>
  <si>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</si>
  <si>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</si>
  <si>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</si>
  <si>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</si>
  <si>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</si>
  <si>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</si>
  <si>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</si>
  <si>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</si>
  <si>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</si>
  <si>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</si>
  <si>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</si>
  <si>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</si>
  <si>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</si>
  <si>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</si>
  <si>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</si>
  <si>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</si>
  <si>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</si>
  <si>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</si>
  <si>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</si>
  <si>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</si>
  <si>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</si>
  <si>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</si>
  <si>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</si>
  <si>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</si>
  <si>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</si>
  <si>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</si>
  <si>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</si>
  <si>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</si>
  <si>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</si>
  <si>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</si>
  <si>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</si>
  <si>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</si>
  <si>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</si>
  <si>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</si>
  <si>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</si>
  <si>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</si>
  <si>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</si>
  <si>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</si>
  <si>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</si>
  <si>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</si>
  <si>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</si>
  <si>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</si>
  <si>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</si>
  <si>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</si>
  <si>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</si>
  <si>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</si>
  <si>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</si>
  <si>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</si>
  <si>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</si>
  <si>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</si>
  <si>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</si>
  <si>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</si>
  <si>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</si>
  <si>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</si>
  <si>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</si>
  <si>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</si>
  <si>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</si>
  <si>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</si>
  <si>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</si>
  <si>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</si>
  <si>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</si>
  <si>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</si>
  <si>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</si>
  <si>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</si>
  <si>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</si>
  <si>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</si>
  <si>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</si>
  <si>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</si>
  <si>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</si>
  <si>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</si>
  <si>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</si>
  <si>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</si>
  <si>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</si>
  <si>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</si>
  <si>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</si>
  <si>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</si>
  <si>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</si>
  <si>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</si>
  <si>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</si>
  <si>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</si>
  <si>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</si>
  <si>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</si>
  <si>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</si>
  <si>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</si>
  <si>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</si>
  <si>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</si>
  <si>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</si>
  <si>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</si>
  <si>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</si>
  <si>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</si>
  <si>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</si>
  <si>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</si>
  <si>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</si>
  <si>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</si>
  <si>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</si>
  <si>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</si>
  <si>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</si>
  <si>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</si>
  <si>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</si>
  <si>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</si>
  <si>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</si>
  <si>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</si>
  <si>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</si>
  <si>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</si>
  <si>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</si>
  <si>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</si>
  <si>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</si>
  <si>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</si>
  <si>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</si>
  <si>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</si>
  <si>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</si>
  <si>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</si>
  <si>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</si>
  <si>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</si>
  <si>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</si>
  <si>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</si>
  <si>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</si>
  <si>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</si>
  <si>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</si>
  <si>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</si>
  <si>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</si>
  <si>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</si>
  <si>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</si>
  <si>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</si>
  <si>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</si>
  <si>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</si>
  <si>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</si>
  <si>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</si>
  <si>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</si>
  <si>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</si>
  <si>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</si>
  <si>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</si>
  <si>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</si>
  <si>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</si>
  <si>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</si>
  <si>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</si>
  <si>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</si>
  <si>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</si>
  <si>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</si>
  <si>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</si>
  <si>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</si>
  <si>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</si>
  <si>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</si>
  <si>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</si>
  <si>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</si>
  <si>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</si>
  <si>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</si>
  <si>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</si>
  <si>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</si>
  <si>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</si>
  <si>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</si>
  <si>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</si>
  <si>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</si>
  <si>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</si>
  <si>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</si>
  <si>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</si>
  <si>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</si>
  <si>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</si>
  <si>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</si>
  <si>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</si>
  <si>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</si>
  <si>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</si>
  <si>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</si>
  <si>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</si>
  <si>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</si>
  <si>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</si>
  <si>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</si>
  <si>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</si>
  <si>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</si>
  <si>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</si>
  <si>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</si>
  <si>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</si>
  <si>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</si>
  <si>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</si>
  <si>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</si>
  <si>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</si>
  <si>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</si>
  <si>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</si>
  <si>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</si>
  <si>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</si>
  <si>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</si>
  <si>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</si>
  <si>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</si>
  <si>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</si>
  <si>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</si>
  <si>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</si>
  <si>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</si>
  <si>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</si>
  <si>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</si>
  <si>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</si>
  <si>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</si>
  <si>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</si>
  <si>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</si>
  <si>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</si>
  <si>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</si>
  <si>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</si>
  <si>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</si>
  <si>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</si>
  <si>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</si>
  <si>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</si>
  <si>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</si>
  <si>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</si>
  <si>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</si>
  <si>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</si>
  <si>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</si>
  <si>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</si>
  <si>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</si>
  <si>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</si>
  <si>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</si>
  <si>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</si>
  <si>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</si>
  <si>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</si>
  <si>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</si>
  <si>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</si>
  <si>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</si>
  <si>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</si>
  <si>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</si>
  <si>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</si>
  <si>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</si>
  <si>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</si>
  <si>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</si>
  <si>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</si>
  <si>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</si>
  <si>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</si>
  <si>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</si>
  <si>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</si>
  <si>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</si>
  <si>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</si>
  <si>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</si>
  <si>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</si>
  <si>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</si>
  <si>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</si>
  <si>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</si>
  <si>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</si>
  <si>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</si>
  <si>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</si>
  <si>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</si>
  <si>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</si>
  <si>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</si>
  <si>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</si>
  <si>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</si>
  <si>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</si>
  <si>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</si>
  <si>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</si>
  <si>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</si>
  <si>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</si>
  <si>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</si>
  <si>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</si>
  <si>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</si>
  <si>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</si>
  <si>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</si>
  <si>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</si>
  <si>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</si>
  <si>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</si>
  <si>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</si>
  <si>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</si>
  <si>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</si>
  <si>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</si>
  <si>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</si>
  <si>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</si>
  <si>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</si>
  <si>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</si>
  <si>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</si>
  <si>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</si>
  <si>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</si>
  <si>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</si>
  <si>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</si>
  <si>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</si>
  <si>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</si>
  <si>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</si>
  <si>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</si>
  <si>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</si>
  <si>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</si>
  <si>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</si>
  <si>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</si>
  <si>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</si>
  <si>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</si>
  <si>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</si>
  <si>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</si>
  <si>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</si>
  <si>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</si>
  <si>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</si>
  <si>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</si>
  <si>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</si>
  <si>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</si>
  <si>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</si>
  <si>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</si>
  <si>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</si>
  <si>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</si>
  <si>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</si>
  <si>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</si>
  <si>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</si>
  <si>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</si>
  <si>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</si>
  <si>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</si>
  <si>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</si>
  <si>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</si>
  <si>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</si>
  <si>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</si>
  <si>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</si>
  <si>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</si>
  <si>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</si>
  <si>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</si>
  <si>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</si>
  <si>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</si>
  <si>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</si>
  <si>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</si>
  <si>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</si>
  <si>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</si>
  <si>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</si>
  <si>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</si>
  <si>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</si>
  <si>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</si>
  <si>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</si>
  <si>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</si>
  <si>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</si>
  <si>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</si>
  <si>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</si>
  <si>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</si>
  <si>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</si>
  <si>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</si>
  <si>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</si>
  <si>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</si>
  <si>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</si>
  <si>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</si>
  <si>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</si>
  <si>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</si>
  <si>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</si>
  <si>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</si>
  <si>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</si>
  <si>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</si>
  <si>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</si>
  <si>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</si>
  <si>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</si>
  <si>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</si>
  <si>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</si>
  <si>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</si>
  <si>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</si>
  <si>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</si>
  <si>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</si>
  <si>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</si>
  <si>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</si>
  <si>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</si>
  <si>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</si>
  <si>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</si>
  <si>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</si>
  <si>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</si>
  <si>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</si>
  <si>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</si>
  <si>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</si>
  <si>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</si>
  <si>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</si>
  <si>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</si>
  <si>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</si>
  <si>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</si>
  <si>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</si>
  <si>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</si>
  <si>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</si>
  <si>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</si>
  <si>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</si>
  <si>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</si>
  <si>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</si>
  <si>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</si>
  <si>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</si>
  <si>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</si>
  <si>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</si>
  <si>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</si>
  <si>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</si>
  <si>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</si>
  <si>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</si>
  <si>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</si>
  <si>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</si>
  <si>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</si>
  <si>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</si>
  <si>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</si>
  <si>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</si>
  <si>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</si>
  <si>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</si>
  <si>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</si>
  <si>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</si>
  <si>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</si>
  <si>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</si>
  <si>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</si>
  <si>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</si>
  <si>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</si>
  <si>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</si>
  <si>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</si>
  <si>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</si>
  <si>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</si>
  <si>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</si>
  <si>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</si>
  <si>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</si>
  <si>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</si>
  <si>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</si>
  <si>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</si>
  <si>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</si>
  <si>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</si>
  <si>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</si>
  <si>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</si>
  <si>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</si>
  <si>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</si>
  <si>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</si>
  <si>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</si>
  <si>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</si>
  <si>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</si>
  <si>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</si>
  <si>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</si>
  <si>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</si>
  <si>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</si>
  <si>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</si>
  <si>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</si>
  <si>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</si>
  <si>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</si>
  <si>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</si>
  <si>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</si>
  <si>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</si>
  <si>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</si>
  <si>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</si>
  <si>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</si>
  <si>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</si>
  <si>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</si>
  <si>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</si>
  <si>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</si>
  <si>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</si>
  <si>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</si>
  <si>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</si>
  <si>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</si>
  <si>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</si>
  <si>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</si>
  <si>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</si>
  <si>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</si>
  <si>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</si>
  <si>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</si>
  <si>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</si>
  <si>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</si>
  <si>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</si>
  <si>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</si>
  <si>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</si>
  <si>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</si>
  <si>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</si>
  <si>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</si>
  <si>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</si>
  <si>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</si>
  <si>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</si>
  <si>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</si>
  <si>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</si>
  <si>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</si>
  <si>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</si>
  <si>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</si>
  <si>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</si>
  <si>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</si>
  <si>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</si>
  <si>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</si>
  <si>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</si>
  <si>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</si>
  <si>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</si>
  <si>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</si>
  <si>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</si>
  <si>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</si>
  <si>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</si>
  <si>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</si>
  <si>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</si>
  <si>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</si>
  <si>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</si>
  <si>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</si>
  <si>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</si>
  <si>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</si>
  <si>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</si>
  <si>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</si>
  <si>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</si>
  <si>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</si>
  <si>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</si>
  <si>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</si>
  <si>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</si>
  <si>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</si>
  <si>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</si>
  <si>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</si>
  <si>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</si>
  <si>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</si>
  <si>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</si>
  <si>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</si>
  <si>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</si>
  <si>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</si>
  <si>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</si>
  <si>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</si>
  <si>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</si>
  <si>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</si>
  <si>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</si>
  <si>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</si>
  <si>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</si>
  <si>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</si>
  <si>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</si>
  <si>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</si>
  <si>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</si>
  <si>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</si>
  <si>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</si>
  <si>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</si>
  <si>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</si>
  <si>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</si>
  <si>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</si>
  <si>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</si>
  <si>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</si>
  <si>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</si>
  <si>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</si>
  <si>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</si>
  <si>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</si>
  <si>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</si>
  <si>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</si>
  <si>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</si>
  <si>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</si>
  <si>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</si>
  <si>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</si>
  <si>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</si>
  <si>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</si>
  <si>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</si>
  <si>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</si>
  <si>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</si>
  <si>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</si>
  <si>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</si>
  <si>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</si>
  <si>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</si>
  <si>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</si>
  <si>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</si>
  <si>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</si>
  <si>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</si>
  <si>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</si>
  <si>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</si>
  <si>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</si>
  <si>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</si>
  <si>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</si>
  <si>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</si>
  <si>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</si>
  <si>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</si>
  <si>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</si>
  <si>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</si>
  <si>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</si>
  <si>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</si>
  <si>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</si>
  <si>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</si>
  <si>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</si>
  <si>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</si>
  <si>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</si>
  <si>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</si>
  <si>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</si>
  <si>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</si>
  <si>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</si>
  <si>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</si>
  <si>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</si>
  <si>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</si>
  <si>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</si>
  <si>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</si>
  <si>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</si>
  <si>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</si>
  <si>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</si>
  <si>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</si>
  <si>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</si>
  <si>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</si>
  <si>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</si>
  <si>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</si>
  <si>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</si>
  <si>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</si>
  <si>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</si>
  <si>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</si>
  <si>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</si>
  <si>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</si>
  <si>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</si>
  <si>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</si>
  <si>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</si>
  <si>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</si>
  <si>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</si>
  <si>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</si>
  <si>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</si>
  <si>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</si>
  <si>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</si>
  <si>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</si>
  <si>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</si>
  <si>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</si>
  <si>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</si>
  <si>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</si>
  <si>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</si>
  <si>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</si>
  <si>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</si>
  <si>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</si>
  <si>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</si>
  <si>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</si>
  <si>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</si>
  <si>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</si>
  <si>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</si>
  <si>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</si>
  <si>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</si>
  <si>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</si>
  <si>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</si>
  <si>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</si>
  <si>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</si>
  <si>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</si>
  <si>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</si>
  <si>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</si>
  <si>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</si>
  <si>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</si>
  <si>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</si>
  <si>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</si>
  <si>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</si>
  <si>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</si>
  <si>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</si>
  <si>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</si>
  <si>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</si>
  <si>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</si>
  <si>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</si>
  <si>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</si>
  <si>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</si>
  <si>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</si>
  <si>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</si>
  <si>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</si>
  <si>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</si>
  <si>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</si>
  <si>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</si>
  <si>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</si>
  <si>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</si>
  <si>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</si>
  <si>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</si>
  <si>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</si>
  <si>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</si>
  <si>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</si>
  <si>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</si>
  <si>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</si>
  <si>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</si>
  <si>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</si>
  <si>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</si>
  <si>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</si>
  <si>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</si>
  <si>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</si>
  <si>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</si>
  <si>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</si>
  <si>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</si>
  <si>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</si>
  <si>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</si>
  <si>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</si>
  <si>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</si>
  <si>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</si>
  <si>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</si>
  <si>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</si>
  <si>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</si>
  <si>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</si>
  <si>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</si>
  <si>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</si>
  <si>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</si>
  <si>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</si>
  <si>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</si>
  <si>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</si>
  <si>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</si>
  <si>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</si>
  <si>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</si>
  <si>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</si>
  <si>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</si>
  <si>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</si>
  <si>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</si>
  <si>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</si>
  <si>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</si>
  <si>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</si>
  <si>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</si>
  <si>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</si>
  <si>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</si>
  <si>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</si>
  <si>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</si>
  <si>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</si>
  <si>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</si>
  <si>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</si>
  <si>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</si>
  <si>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</si>
  <si>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</si>
  <si>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</si>
  <si>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</si>
  <si>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</si>
  <si>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</si>
  <si>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</si>
  <si>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</si>
  <si>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</si>
  <si>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</si>
  <si>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</si>
  <si>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</si>
  <si>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</si>
  <si>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</si>
  <si>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</si>
  <si>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</si>
  <si>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</si>
  <si>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</si>
  <si>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</si>
  <si>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</si>
  <si>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</si>
  <si>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</si>
  <si>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</si>
  <si>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</si>
  <si>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</si>
  <si>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</si>
  <si>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</si>
  <si>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</si>
  <si>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</si>
  <si>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</si>
  <si>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</si>
  <si>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</si>
  <si>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</si>
  <si>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</si>
  <si>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</si>
  <si>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</si>
  <si>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</si>
  <si>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</si>
  <si>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</si>
  <si>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</si>
  <si>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</si>
  <si>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</si>
  <si>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</si>
  <si>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</si>
  <si>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</si>
  <si>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</si>
  <si>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</si>
  <si>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</si>
  <si>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</si>
  <si>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</si>
  <si>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</si>
  <si>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</si>
  <si>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</si>
  <si>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</si>
  <si>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</si>
  <si>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</si>
  <si>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</si>
  <si>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</si>
  <si>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</si>
  <si>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</si>
  <si>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</si>
  <si>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</si>
  <si>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</si>
  <si>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</si>
  <si>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</si>
  <si>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</si>
  <si>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</si>
  <si>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</si>
  <si>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</si>
  <si>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</si>
  <si>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</si>
  <si>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</si>
  <si>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</si>
  <si>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</si>
  <si>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</si>
  <si>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</si>
  <si>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</si>
  <si>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</si>
  <si>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</si>
  <si>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</si>
  <si>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</si>
  <si>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</si>
  <si>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</si>
  <si>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</si>
  <si>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</si>
  <si>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</si>
  <si>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</si>
  <si>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</si>
  <si>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</si>
  <si>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</si>
  <si>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</si>
  <si>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</si>
  <si>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</si>
  <si>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</si>
  <si>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</si>
  <si>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</si>
  <si>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</si>
  <si>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</si>
  <si>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</si>
  <si>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</si>
  <si>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</si>
  <si>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</si>
  <si>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</si>
  <si>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</si>
  <si>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</si>
  <si>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</si>
  <si>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</si>
  <si>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</si>
  <si>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</si>
  <si>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</si>
  <si>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</si>
  <si>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</si>
  <si>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</si>
  <si>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</si>
  <si>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</si>
  <si>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</si>
  <si>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</si>
  <si>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</si>
  <si>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</si>
  <si>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</si>
  <si>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</si>
  <si>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</si>
  <si>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</si>
  <si>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</si>
  <si>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</si>
  <si>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</si>
  <si>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</si>
  <si>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</si>
  <si>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</si>
  <si>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</si>
  <si>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</si>
  <si>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</si>
  <si>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</si>
  <si>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</si>
  <si>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</si>
  <si>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</si>
  <si>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</si>
  <si>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</si>
  <si>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</si>
  <si>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</si>
  <si>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</si>
  <si>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</si>
  <si>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</si>
  <si>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</si>
  <si>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</si>
  <si>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</si>
  <si>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</si>
  <si>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</si>
  <si>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</si>
  <si>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</si>
  <si>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</si>
  <si>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</si>
  <si>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</si>
  <si>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</si>
  <si>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</si>
  <si>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</si>
  <si>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</si>
  <si>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</si>
  <si>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</si>
  <si>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</si>
  <si>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</si>
  <si>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</si>
  <si>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</si>
  <si>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</si>
  <si>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</si>
  <si>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</si>
  <si>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</si>
  <si>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</si>
  <si>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</si>
  <si>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</si>
  <si>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</si>
  <si>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</si>
  <si>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</si>
  <si>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</si>
  <si>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</si>
  <si>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</si>
  <si>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</si>
  <si>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</si>
  <si>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</si>
  <si>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</si>
  <si>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</si>
  <si>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</si>
  <si>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</si>
  <si>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</si>
  <si>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</si>
  <si>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</si>
  <si>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</si>
  <si>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</si>
  <si>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</si>
  <si>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</si>
  <si>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</si>
  <si>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</si>
  <si>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</si>
  <si>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</si>
  <si>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</si>
  <si>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</si>
  <si>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</si>
  <si>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</si>
  <si>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</si>
  <si>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</si>
  <si>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</si>
  <si>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</si>
  <si>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</si>
  <si>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</si>
  <si>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</si>
  <si>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</si>
  <si>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</si>
  <si>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</si>
  <si>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</si>
  <si>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</si>
  <si>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</si>
  <si>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</si>
  <si>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</si>
  <si>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</si>
  <si>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</si>
  <si>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</si>
  <si>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</si>
  <si>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</si>
  <si>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</si>
  <si>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</si>
  <si>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</si>
  <si>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</si>
  <si>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</si>
  <si>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</si>
  <si>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</si>
  <si>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</si>
  <si>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</si>
  <si>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</si>
  <si>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</si>
  <si>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</si>
  <si>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</si>
  <si>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</si>
  <si>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</si>
  <si>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</si>
  <si>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</si>
  <si>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</si>
  <si>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</si>
  <si>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</si>
  <si>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</si>
  <si>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</si>
  <si>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</si>
  <si>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</si>
  <si>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</si>
  <si>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</si>
  <si>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</si>
  <si>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</si>
  <si>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</si>
  <si>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</si>
  <si>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</si>
  <si>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</si>
  <si>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</si>
  <si>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</si>
  <si>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</si>
  <si>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</si>
  <si>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</si>
  <si>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</si>
  <si>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</si>
  <si>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</si>
  <si>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</si>
  <si>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</si>
  <si>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</si>
  <si>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</si>
  <si>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</si>
  <si>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</si>
  <si>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</si>
  <si>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</si>
  <si>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</si>
  <si>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</si>
  <si>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</si>
  <si>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</si>
  <si>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</si>
  <si>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</si>
  <si>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</si>
  <si>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</si>
  <si>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</si>
  <si>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</si>
  <si>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</si>
  <si>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</si>
  <si>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</si>
  <si>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</si>
  <si>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</si>
  <si>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</si>
  <si>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</si>
  <si>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</si>
  <si>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</si>
  <si>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</si>
  <si>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</si>
  <si>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</si>
  <si>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</si>
  <si>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</si>
  <si>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</si>
  <si>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</si>
  <si>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</si>
  <si>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</si>
  <si>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</si>
  <si>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</si>
  <si>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</si>
  <si>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</si>
  <si>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</si>
  <si>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</si>
  <si>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</si>
  <si>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</si>
  <si>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</si>
  <si>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</si>
  <si>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</si>
  <si>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</si>
  <si>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</si>
  <si>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</si>
  <si>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</si>
  <si>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</si>
  <si>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</si>
  <si>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</si>
  <si>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</si>
  <si>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</si>
  <si>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</si>
  <si>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</si>
  <si>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</si>
  <si>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</si>
  <si>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</si>
  <si>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</si>
  <si>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</si>
  <si>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</si>
  <si>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</si>
  <si>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</si>
  <si>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</si>
  <si>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</si>
  <si>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</si>
  <si>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</si>
  <si>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</si>
  <si>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</si>
  <si>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</si>
  <si>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</si>
  <si>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</si>
  <si>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</si>
  <si>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</si>
  <si>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</si>
  <si>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</si>
  <si>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</si>
  <si>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</si>
  <si>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</si>
  <si>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</si>
  <si>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</si>
  <si>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</si>
  <si>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</si>
  <si>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</si>
  <si>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</si>
  <si>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</si>
  <si>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</si>
  <si>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</si>
  <si>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</si>
  <si>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</si>
  <si>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</si>
  <si>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</si>
  <si>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</si>
  <si>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</si>
  <si>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</si>
  <si>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</si>
  <si>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</si>
  <si>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</si>
  <si>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</si>
  <si>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</si>
  <si>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</si>
  <si>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</si>
  <si>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</si>
  <si>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</si>
  <si>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</si>
  <si>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</si>
  <si>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</si>
  <si>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</si>
  <si>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</si>
  <si>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</si>
  <si>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</si>
  <si>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</si>
  <si>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</si>
  <si>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</si>
  <si>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</si>
  <si>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</si>
  <si>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</si>
  <si>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</si>
  <si>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</si>
  <si>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</si>
  <si>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</si>
  <si>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</si>
  <si>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</si>
  <si>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</si>
  <si>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</si>
  <si>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</si>
  <si>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</si>
  <si>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</si>
  <si>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</si>
  <si>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</si>
  <si>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</si>
  <si>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</si>
  <si>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</si>
  <si>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</si>
  <si>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</si>
  <si>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</si>
  <si>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</si>
  <si>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</si>
  <si>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</si>
  <si>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</si>
  <si>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</si>
  <si>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</si>
  <si>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</si>
  <si>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</si>
  <si>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</si>
  <si>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</si>
  <si>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</si>
  <si>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</si>
  <si>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</si>
  <si>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</si>
  <si>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</si>
  <si>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</si>
  <si>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</si>
  <si>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</si>
  <si>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</si>
  <si>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</si>
  <si>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</si>
  <si>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</si>
  <si>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</si>
  <si>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</si>
  <si>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</si>
  <si>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</si>
  <si>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</si>
  <si>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</si>
  <si>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</si>
  <si>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</si>
  <si>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</si>
  <si>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</si>
  <si>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</si>
  <si>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</si>
  <si>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</si>
  <si>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</si>
  <si>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</si>
  <si>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</si>
  <si>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</si>
  <si>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</si>
  <si>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</si>
  <si>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</si>
  <si>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</si>
  <si>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</si>
  <si>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</si>
  <si>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</si>
  <si>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</si>
  <si>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</si>
  <si>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</si>
  <si>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</si>
  <si>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</si>
  <si>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Albany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</si>
</sst>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4" activePane="bottomRight" state="frozen"/>
      <selection pane="topRight" activeCell="F1" sqref="F1"/>
      <selection pane="bottomLeft" activeCell="A4" sqref="A4"/>
      <selection pane="bottomRight" activeCell="F50" sqref="F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v>
      </c>
      <c r="C2" s="21">
        <v>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272256.37</v>
      </c>
      <c r="G9" s="18"/>
      <c r="H9" s="18">
        <v>0</v>
      </c>
      <c r="I9" s="18"/>
      <c r="J9" s="67">
        <f>SUM(I440)</f>
        <v>110726.55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f>SUM(9724-900)</f>
        <v>8824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272256.37</v>
      </c>
      <c r="G19" s="41">
        <f>SUM(G9:G18)</f>
        <v>0</v>
      </c>
      <c r="H19" s="41">
        <f>SUM(H9:H18)</f>
        <v>8824</v>
      </c>
      <c r="I19" s="41">
        <f>SUM(I9:I18)</f>
        <v>0</v>
      </c>
      <c r="J19" s="41">
        <f>SUM(J9:J18)</f>
        <v>110726.55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74673.2</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17549.099999999999</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13821</v>
      </c>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106043.29999999999</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58341</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v>8824</v>
      </c>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110726.55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107872.07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166213.07</v>
      </c>
      <c r="G51" s="41">
        <f>SUM(G35:G50)</f>
        <v>0</v>
      </c>
      <c r="H51" s="41">
        <f>SUM(H35:H50)</f>
        <v>8824</v>
      </c>
      <c r="I51" s="41">
        <f>SUM(I35:I50)</f>
        <v>0</v>
      </c>
      <c r="J51" s="41">
        <f>SUM(J35:J50)</f>
        <v>110726.55</v>
      </c>
      <c r="K51" s="45" t="s">
        <v>288</v>
      </c>
      <c r="L51" s="45" t="s">
        <v>288</v>
      </c>
      <c r="N51" s="264"/>
    </row>
    <row r="52" spans="1:14" s="3" customFormat="1" ht="12.2" customHeight="1" thickTop="1" x14ac:dyDescent="0.15">
      <c r="A52" s="38" t="s">
        <v>455</v>
      </c>
      <c r="B52" s="39" t="s">
        <v>289</v>
      </c>
      <c r="C52" s="6">
        <v>37</v>
      </c>
      <c r="D52" s="39" t="s">
        <v>653</v>
      </c>
      <c r="E52" s="39"/>
      <c r="F52" s="41">
        <f>F51+F32</f>
        <v>272256.37</v>
      </c>
      <c r="G52" s="41">
        <f>G51+G32</f>
        <v>0</v>
      </c>
      <c r="H52" s="41">
        <f>H51+H32</f>
        <v>8824</v>
      </c>
      <c r="I52" s="41">
        <f>I51+I32</f>
        <v>0</v>
      </c>
      <c r="J52" s="41">
        <f>J51+J32</f>
        <v>110726.55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902522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902522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261.75</v>
      </c>
      <c r="G96" s="18"/>
      <c r="H96" s="18"/>
      <c r="I96" s="18"/>
      <c r="J96" s="18">
        <v>9.94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316.36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578.11</v>
      </c>
      <c r="G111" s="41">
        <f>SUM(G96:G110)</f>
        <v>0</v>
      </c>
      <c r="H111" s="41">
        <f>SUM(H96:H110)</f>
        <v>0</v>
      </c>
      <c r="I111" s="41">
        <f>SUM(I96:I110)</f>
        <v>0</v>
      </c>
      <c r="J111" s="41">
        <f>SUM(J96:J110)</f>
        <v>9.94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903100.11</v>
      </c>
      <c r="G112" s="41">
        <f>G60+G111</f>
        <v>0</v>
      </c>
      <c r="H112" s="41">
        <f>H60+H79+H94+H111</f>
        <v>0</v>
      </c>
      <c r="I112" s="41">
        <f>I60+I111</f>
        <v>0</v>
      </c>
      <c r="J112" s="41">
        <f>J60+J111</f>
        <v>9.94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591666.87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209565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801231.87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801231.87</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2405.0500000000002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600.16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600.16</v>
      </c>
      <c r="G163" s="41">
        <f>SUM(G150:G162)</f>
        <v>0</v>
      </c>
      <c r="H163" s="41">
        <f>SUM(H150:H162)</f>
        <v>2405.0500000000002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20281.27</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20881.43</v>
      </c>
      <c r="G170" s="41">
        <f>G147+G163+SUM(G164:G169)</f>
        <v>0</v>
      </c>
      <c r="H170" s="41">
        <f>H147+H163+SUM(H164:H169)</f>
        <v>2405.0500000000002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1725213.41</v>
      </c>
      <c r="G194" s="47">
        <f>G112+G140+G170+G193</f>
        <v>0</v>
      </c>
      <c r="H194" s="47">
        <f>H112+H140+H170+H193</f>
        <v>2405.0500000000002</v>
      </c>
      <c r="I194" s="47">
        <f>I112+I140+I170+I193</f>
        <v>0</v>
      </c>
      <c r="J194" s="47">
        <f>J112+J140+J193</f>
        <v>15009.94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f>SUM(676978+23200+584)</f>
        <v>700762</v>
      </c>
      <c r="I198" s="18"/>
      <c r="J198" s="18"/>
      <c r="K198" s="18"/>
      <c r="L198" s="19">
        <f>SUM(F198:K198)</f>
        <v>700762</v>
      </c>
      <c r="M198" s="8"/>
      <c r="N198" s="266"/>
    </row>
    <row r="199" spans="1:14" s="3" customFormat="1" ht="12.2" customHeight="1" x14ac:dyDescent="0.15">
      <c r="A199" s="1" t="s">
        <v>439</v>
      </c>
      <c r="B199" s="2" t="s">
        <v>341</v>
      </c>
      <c r="C199" s="2" t="s">
        <v>291</v>
      </c>
      <c r="D199" s="2" t="s">
        <v>431</v>
      </c>
      <c r="E199" s="6">
        <v>1200</v>
      </c>
      <c r="F199" s="18"/>
      <c r="G199" s="18"/>
      <c r="H199" s="18">
        <v>88589.88</v>
      </c>
      <c r="I199" s="18"/>
      <c r="J199" s="18"/>
      <c r="K199" s="18"/>
      <c r="L199" s="19">
        <f>SUM(F199:K199)</f>
        <v>88589.88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f>SUM(2500+4725.75+9780)</f>
        <v>17005.75</v>
      </c>
      <c r="I203" s="18"/>
      <c r="J203" s="18"/>
      <c r="K203" s="18"/>
      <c r="L203" s="19">
        <f t="shared" ref="L203:L209" si="0">SUM(F203:K203)</f>
        <v>17005.75</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1080</v>
      </c>
      <c r="G205" s="18">
        <v>408.02</v>
      </c>
      <c r="H205" s="333">
        <f>1625.09+12095.52</f>
        <v>13720.61</v>
      </c>
      <c r="I205" s="18"/>
      <c r="J205" s="18"/>
      <c r="K205" s="18"/>
      <c r="L205" s="19">
        <f t="shared" si="0"/>
        <v>15208.630000000001</v>
      </c>
      <c r="M205" s="8"/>
      <c r="N205" s="266"/>
    </row>
    <row r="206" spans="1:14" s="3" customFormat="1" ht="12.2" customHeight="1" x14ac:dyDescent="0.15">
      <c r="A206" s="1" t="s">
        <v>445</v>
      </c>
      <c r="B206" s="2" t="s">
        <v>341</v>
      </c>
      <c r="C206" s="2" t="s">
        <v>297</v>
      </c>
      <c r="D206" s="2" t="s">
        <v>431</v>
      </c>
      <c r="E206" s="6">
        <v>2400</v>
      </c>
      <c r="F206" s="18"/>
      <c r="G206" s="18"/>
      <c r="H206" s="333"/>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52693.56</v>
      </c>
      <c r="I209" s="18"/>
      <c r="J209" s="18"/>
      <c r="K209" s="18"/>
      <c r="L209" s="19">
        <f t="shared" si="0"/>
        <v>52693.56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1080</v>
      </c>
      <c r="G212" s="41">
        <f t="shared" si="1"/>
        <v>408.02</v>
      </c>
      <c r="H212" s="41">
        <f t="shared" si="1"/>
        <v>872771.8</v>
      </c>
      <c r="I212" s="41">
        <f t="shared" si="1"/>
        <v>0</v>
      </c>
      <c r="J212" s="41">
        <f t="shared" si="1"/>
        <v>0</v>
      </c>
      <c r="K212" s="41">
        <f t="shared" si="1"/>
        <v>0</v>
      </c>
      <c r="L212" s="41">
        <f t="shared" si="1"/>
        <v>874259.82000000007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f>SUM(317423+11192+904)</f>
        <v>329519</v>
      </c>
      <c r="I216" s="18"/>
      <c r="J216" s="18"/>
      <c r="K216" s="18"/>
      <c r="L216" s="19">
        <f>SUM(F216:K216)</f>
        <v>329519</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506.25</v>
      </c>
      <c r="G223" s="18">
        <v>191.26</v>
      </c>
      <c r="H223" s="333">
        <f>761.76+5669.77</f>
        <v>6431.5300000000007</v>
      </c>
      <c r="I223" s="18"/>
      <c r="J223" s="18"/>
      <c r="K223" s="18"/>
      <c r="L223" s="19">
        <f t="shared" si="2"/>
        <v>7129.0400000000009</v>
      </c>
      <c r="M223" s="8"/>
      <c r="N223" s="266"/>
    </row>
    <row r="224" spans="1:14" s="3" customFormat="1" ht="12.2" customHeight="1" x14ac:dyDescent="0.15">
      <c r="A224" s="1" t="s">
        <v>445</v>
      </c>
      <c r="B224" s="2" t="s">
        <v>346</v>
      </c>
      <c r="C224" s="2" t="s">
        <v>297</v>
      </c>
      <c r="D224" s="2" t="s">
        <v>431</v>
      </c>
      <c r="E224" s="6">
        <v>2400</v>
      </c>
      <c r="F224" s="18"/>
      <c r="G224" s="18"/>
      <c r="H224" s="333"/>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24700.1</v>
      </c>
      <c r="I227" s="18"/>
      <c r="J227" s="18"/>
      <c r="K227" s="18"/>
      <c r="L227" s="19">
        <f t="shared" si="2"/>
        <v>24700.1</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506.25</v>
      </c>
      <c r="G230" s="41">
        <f>SUM(G216:G229)</f>
        <v>191.26</v>
      </c>
      <c r="H230" s="41">
        <f>SUM(H216:H229)</f>
        <v>360650.63</v>
      </c>
      <c r="I230" s="41">
        <f>SUM(I216:I229)</f>
        <v>0</v>
      </c>
      <c r="J230" s="41">
        <f>SUM(J216:J229)</f>
        <v>0</v>
      </c>
      <c r="K230" s="41">
        <f t="shared" si="3"/>
        <v>0</v>
      </c>
      <c r="L230" s="41">
        <f t="shared" si="3"/>
        <v>361348.13999999996</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SUM(411707+18644+596)</f>
        <v>430947</v>
      </c>
      <c r="I234" s="18"/>
      <c r="J234" s="18"/>
      <c r="K234" s="18"/>
      <c r="L234" s="19">
        <f>SUM(F234:K234)</f>
        <v>430947</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663.75</v>
      </c>
      <c r="G241" s="18">
        <v>250.77</v>
      </c>
      <c r="H241" s="333">
        <f>998.76+7433.71</f>
        <v>8432.4699999999993</v>
      </c>
      <c r="I241" s="18"/>
      <c r="J241" s="18"/>
      <c r="K241" s="18"/>
      <c r="L241" s="19">
        <f t="shared" si="4"/>
        <v>9346.99</v>
      </c>
      <c r="M241" s="8"/>
      <c r="N241" s="266"/>
    </row>
    <row r="242" spans="1:14" s="3" customFormat="1" ht="12.2" customHeight="1" x14ac:dyDescent="0.15">
      <c r="A242" s="1" t="s">
        <v>445</v>
      </c>
      <c r="B242" s="2" t="s">
        <v>350</v>
      </c>
      <c r="C242" s="2" t="s">
        <v>297</v>
      </c>
      <c r="D242" s="2" t="s">
        <v>431</v>
      </c>
      <c r="E242" s="6">
        <v>2400</v>
      </c>
      <c r="F242" s="18"/>
      <c r="G242" s="18"/>
      <c r="H242" s="333"/>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32384.58</v>
      </c>
      <c r="I245" s="18"/>
      <c r="J245" s="18"/>
      <c r="K245" s="18"/>
      <c r="L245" s="19">
        <f t="shared" si="4"/>
        <v>32384.58</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663.75</v>
      </c>
      <c r="G248" s="41">
        <f t="shared" si="5"/>
        <v>250.77</v>
      </c>
      <c r="H248" s="41">
        <f t="shared" si="5"/>
        <v>471764.05</v>
      </c>
      <c r="I248" s="41">
        <f t="shared" si="5"/>
        <v>0</v>
      </c>
      <c r="J248" s="41">
        <f t="shared" si="5"/>
        <v>0</v>
      </c>
      <c r="K248" s="41">
        <f t="shared" si="5"/>
        <v>0</v>
      </c>
      <c r="L248" s="41">
        <f t="shared" si="5"/>
        <v>472678.57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2250</v>
      </c>
      <c r="G258" s="41">
        <f t="shared" si="8"/>
        <v>850.05</v>
      </c>
      <c r="H258" s="41">
        <f t="shared" si="8"/>
        <v>1705186.4800000002</v>
      </c>
      <c r="I258" s="41">
        <f t="shared" si="8"/>
        <v>0</v>
      </c>
      <c r="J258" s="41">
        <f t="shared" si="8"/>
        <v>0</v>
      </c>
      <c r="K258" s="41">
        <f t="shared" si="8"/>
        <v>0</v>
      </c>
      <c r="L258" s="41">
        <f t="shared" si="8"/>
        <v>1708286.53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v>
      </c>
      <c r="L267" s="19">
        <f t="shared" si="9"/>
        <v>15000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15000</v>
      </c>
      <c r="L271" s="41">
        <f t="shared" si="9"/>
        <v>15000</v>
      </c>
      <c r="M271" s="8"/>
      <c r="N271" s="266"/>
    </row>
    <row r="272" spans="1:14" s="34" customFormat="1" ht="12.2" customHeight="1" thickTop="1" x14ac:dyDescent="0.2">
      <c r="A272" s="43" t="s">
        <v>464</v>
      </c>
      <c r="B272" s="40">
        <v>10</v>
      </c>
      <c r="C272" s="40">
        <v>18</v>
      </c>
      <c r="D272" s="39" t="s">
        <v>431</v>
      </c>
      <c r="E272" s="40"/>
      <c r="F272" s="42">
        <f t="shared" ref="F272:L272" si="11">F258+F271</f>
        <v>2250</v>
      </c>
      <c r="G272" s="42">
        <f t="shared" si="11"/>
        <v>850.05</v>
      </c>
      <c r="H272" s="42">
        <f t="shared" si="11"/>
        <v>1705186.4800000002</v>
      </c>
      <c r="I272" s="42">
        <f t="shared" si="11"/>
        <v>0</v>
      </c>
      <c r="J272" s="42">
        <f t="shared" si="11"/>
        <v>0</v>
      </c>
      <c r="K272" s="42">
        <f t="shared" si="11"/>
        <v>15000</v>
      </c>
      <c r="L272" s="42">
        <f t="shared" si="11"/>
        <v>1723286.53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f>SUM(441.8+273+3106.61+1893.39)</f>
        <v>5714.8</v>
      </c>
      <c r="I278" s="18"/>
      <c r="J278" s="18"/>
      <c r="K278" s="18"/>
      <c r="L278" s="19">
        <f>SUM(F278:K278)</f>
        <v>5714.8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f>SUM(790.25+2500+2224)</f>
        <v>5514.25</v>
      </c>
      <c r="I282" s="18"/>
      <c r="J282" s="18"/>
      <c r="K282" s="18"/>
      <c r="L282" s="19">
        <f t="shared" ref="L282:L288" si="12">SUM(F282:K282)</f>
        <v>5514.25</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11229.05</v>
      </c>
      <c r="I291" s="42">
        <f t="shared" si="13"/>
        <v>0</v>
      </c>
      <c r="J291" s="42">
        <f t="shared" si="13"/>
        <v>0</v>
      </c>
      <c r="K291" s="42">
        <f t="shared" si="13"/>
        <v>0</v>
      </c>
      <c r="L291" s="41">
        <f t="shared" si="13"/>
        <v>11229.05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11229.05</v>
      </c>
      <c r="I339" s="41">
        <f t="shared" si="20"/>
        <v>0</v>
      </c>
      <c r="J339" s="41">
        <f t="shared" si="20"/>
        <v>0</v>
      </c>
      <c r="K339" s="41">
        <f t="shared" si="20"/>
        <v>0</v>
      </c>
      <c r="L339" s="41">
        <f t="shared" si="20"/>
        <v>11229.05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11229.05</v>
      </c>
      <c r="I353" s="41">
        <f>I339</f>
        <v>0</v>
      </c>
      <c r="J353" s="41">
        <f>J339</f>
        <v>0</v>
      </c>
      <c r="K353" s="47">
        <f>K339+K352</f>
        <v>0</v>
      </c>
      <c r="L353" s="41">
        <f>L339+L352</f>
        <v>11229.05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15000</v>
      </c>
      <c r="H398" s="18">
        <v>4.17</v>
      </c>
      <c r="I398" s="18"/>
      <c r="J398" s="24" t="s">
        <v>288</v>
      </c>
      <c r="K398" s="24" t="s">
        <v>288</v>
      </c>
      <c r="L398" s="56">
        <f t="shared" si="26"/>
        <v>15004.17</v>
      </c>
      <c r="M398" s="8"/>
      <c r="N398" s="266"/>
    </row>
    <row r="399" spans="1:14" s="3" customFormat="1" ht="12.2" customHeight="1" x14ac:dyDescent="0.15">
      <c r="A399" s="79" t="s">
        <v>558</v>
      </c>
      <c r="B399" s="2" t="s">
        <v>381</v>
      </c>
      <c r="C399" s="6">
        <v>11</v>
      </c>
      <c r="D399" s="2" t="s">
        <v>432</v>
      </c>
      <c r="E399" s="6"/>
      <c r="F399" s="18"/>
      <c r="G399" s="18"/>
      <c r="H399" s="18">
        <v>5.77</v>
      </c>
      <c r="I399" s="18"/>
      <c r="J399" s="24" t="s">
        <v>288</v>
      </c>
      <c r="K399" s="24" t="s">
        <v>288</v>
      </c>
      <c r="L399" s="56">
        <f t="shared" si="26"/>
        <v>5.77</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15000</v>
      </c>
      <c r="H402" s="47">
        <f>SUM(H396:H401)</f>
        <v>9.94</v>
      </c>
      <c r="I402" s="47">
        <f>SUM(I396:I401)</f>
        <v>0</v>
      </c>
      <c r="J402" s="45" t="s">
        <v>288</v>
      </c>
      <c r="K402" s="45" t="s">
        <v>288</v>
      </c>
      <c r="L402" s="47">
        <f>SUM(L396:L401)</f>
        <v>15009.94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15000</v>
      </c>
      <c r="H409" s="47">
        <f>H394+H402+H408</f>
        <v>9.94</v>
      </c>
      <c r="I409" s="47">
        <f>I394+I402+I408</f>
        <v>0</v>
      </c>
      <c r="J409" s="24" t="s">
        <v>288</v>
      </c>
      <c r="K409" s="24" t="s">
        <v>288</v>
      </c>
      <c r="L409" s="47">
        <f>L394+L402+L408</f>
        <v>15009.94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110726.55</v>
      </c>
      <c r="H440" s="18"/>
      <c r="I440" s="56">
        <f t="shared" ref="I440:I446" si="33">SUM(F440:H440)</f>
        <v>110726.55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110726.55</v>
      </c>
      <c r="H447" s="13">
        <f>SUM(H440:H446)</f>
        <v>0</v>
      </c>
      <c r="I447" s="13">
        <f>SUM(I440:I446)</f>
        <v>110726.55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110726.55</v>
      </c>
      <c r="H460" s="18"/>
      <c r="I460" s="56">
        <f t="shared" si="34"/>
        <v>110726.55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110726.55</v>
      </c>
      <c r="H461" s="83">
        <f>SUM(H455:H460)</f>
        <v>0</v>
      </c>
      <c r="I461" s="83">
        <f>SUM(I455:I460)</f>
        <v>110726.55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110726.55</v>
      </c>
      <c r="H462" s="42">
        <f>H453+H461</f>
        <v>0</v>
      </c>
      <c r="I462" s="42">
        <f>I453+I461</f>
        <v>110726.55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SUM(152334.48+25772.71)</f>
        <v>178107.19</v>
      </c>
      <c r="G466" s="18"/>
      <c r="H466" s="18">
        <v>17648</v>
      </c>
      <c r="I466" s="18"/>
      <c r="J466" s="18">
        <v>95716.61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1725213.41</v>
      </c>
      <c r="G469" s="18"/>
      <c r="H469" s="18">
        <v>2405.0500000000002</v>
      </c>
      <c r="I469" s="18"/>
      <c r="J469" s="18">
        <v>15009.94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1725213.41</v>
      </c>
      <c r="G471" s="53">
        <f>SUM(G469:G470)</f>
        <v>0</v>
      </c>
      <c r="H471" s="53">
        <f>SUM(H469:H470)</f>
        <v>2405.0500000000002</v>
      </c>
      <c r="I471" s="53">
        <f>SUM(I469:I470)</f>
        <v>0</v>
      </c>
      <c r="J471" s="53">
        <f>SUM(J469:J470)</f>
        <v>15009.94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1723286.53</v>
      </c>
      <c r="G473" s="18"/>
      <c r="H473" s="18">
        <v>11229.05</v>
      </c>
      <c r="I473" s="18"/>
      <c r="J473" s="18"/>
      <c r="K473" s="24" t="s">
        <v>288</v>
      </c>
      <c r="L473" s="24" t="s">
        <v>288</v>
      </c>
      <c r="N473" s="265"/>
    </row>
    <row r="474" spans="1:14" s="52" customFormat="1" ht="12.2" customHeight="1" x14ac:dyDescent="0.2">
      <c r="A474" s="93" t="s">
        <v>613</v>
      </c>
      <c r="B474" s="75">
        <v>19</v>
      </c>
      <c r="C474" s="80">
        <v>6</v>
      </c>
      <c r="D474" s="2" t="s">
        <v>432</v>
      </c>
      <c r="E474" s="80"/>
      <c r="F474" s="18">
        <v>13821</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1737107.53</v>
      </c>
      <c r="G475" s="53">
        <f>SUM(G473:G474)</f>
        <v>0</v>
      </c>
      <c r="H475" s="53">
        <f>SUM(H473:H474)</f>
        <v>11229.05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166213.06999999983</v>
      </c>
      <c r="G477" s="53">
        <f>(G466+G471)- G475</f>
        <v>0</v>
      </c>
      <c r="H477" s="53">
        <f>(H466+H471)- H475</f>
        <v>8824</v>
      </c>
      <c r="I477" s="53">
        <f>(I466+I471)- I475</f>
        <v>0</v>
      </c>
      <c r="J477" s="53">
        <f>(J466+J471)- J475</f>
        <v>110726.55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f>SUM(5714.8+88589.88)</f>
        <v>94304.680000000008</v>
      </c>
      <c r="I522" s="18"/>
      <c r="J522" s="18"/>
      <c r="K522" s="18"/>
      <c r="L522" s="88">
        <f>SUM(F522:K522)</f>
        <v>94304.680000000008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94304.680000000008</v>
      </c>
      <c r="I525" s="108">
        <f t="shared" si="36"/>
        <v>0</v>
      </c>
      <c r="J525" s="108">
        <f t="shared" si="36"/>
        <v>0</v>
      </c>
      <c r="K525" s="108">
        <f t="shared" si="36"/>
        <v>0</v>
      </c>
      <c r="L525" s="89">
        <f t="shared" si="36"/>
        <v>94304.680000000008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SUM(2500+4725.75+9780+5514.25)</f>
        <v>22520</v>
      </c>
      <c r="I527" s="18"/>
      <c r="J527" s="18"/>
      <c r="K527" s="18"/>
      <c r="L527" s="88">
        <f>SUM(F527:K527)</f>
        <v>22520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22520</v>
      </c>
      <c r="I530" s="89">
        <f t="shared" si="37"/>
        <v>0</v>
      </c>
      <c r="J530" s="89">
        <f t="shared" si="37"/>
        <v>0</v>
      </c>
      <c r="K530" s="89">
        <f t="shared" si="37"/>
        <v>0</v>
      </c>
      <c r="L530" s="89">
        <f t="shared" si="37"/>
        <v>22520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116824.68000000001</v>
      </c>
      <c r="I546" s="89">
        <f t="shared" si="41"/>
        <v>0</v>
      </c>
      <c r="J546" s="89">
        <f t="shared" si="41"/>
        <v>0</v>
      </c>
      <c r="K546" s="89">
        <f t="shared" si="41"/>
        <v>0</v>
      </c>
      <c r="L546" s="89">
        <f t="shared" si="41"/>
        <v>116824.68000000001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94304.680000000008</v>
      </c>
      <c r="G550" s="87">
        <f>L527</f>
        <v>22520</v>
      </c>
      <c r="H550" s="87">
        <f>L532</f>
        <v>0</v>
      </c>
      <c r="I550" s="87">
        <f>L537</f>
        <v>0</v>
      </c>
      <c r="J550" s="87">
        <f>L542</f>
        <v>0</v>
      </c>
      <c r="K550" s="87">
        <f>SUM(F550:J550)</f>
        <v>116824.68000000001</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94304.680000000008</v>
      </c>
      <c r="G553" s="89">
        <f t="shared" si="42"/>
        <v>22520</v>
      </c>
      <c r="H553" s="89">
        <f t="shared" si="42"/>
        <v>0</v>
      </c>
      <c r="I553" s="89">
        <f t="shared" si="42"/>
        <v>0</v>
      </c>
      <c r="J553" s="89">
        <f t="shared" si="42"/>
        <v>0</v>
      </c>
      <c r="K553" s="89">
        <f t="shared" si="42"/>
        <v>116824.68000000001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700762</v>
      </c>
      <c r="G576" s="18">
        <v>329519</v>
      </c>
      <c r="H576" s="18">
        <v>430947</v>
      </c>
      <c r="I576" s="87">
        <f>SUM(F576:H576)</f>
        <v>1461228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SUM(1652.74+40479.95+3305.48+23919.39+2236.06)</f>
        <v>71593.62</v>
      </c>
      <c r="G580" s="18"/>
      <c r="H580" s="18"/>
      <c r="I580" s="87">
        <f t="shared" si="47"/>
        <v>71593.62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36220</v>
      </c>
      <c r="G583" s="18"/>
      <c r="H583" s="18"/>
      <c r="I583" s="87">
        <f t="shared" si="47"/>
        <v>36220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52693.56</v>
      </c>
      <c r="I592" s="18">
        <v>24700.1</v>
      </c>
      <c r="J592" s="18">
        <v>32384.58</v>
      </c>
      <c r="K592" s="104">
        <f t="shared" ref="K592:K598" si="48">SUM(H592:J592)</f>
        <v>109778.24000000001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52693.56</v>
      </c>
      <c r="I599" s="108">
        <f>SUM(I592:I598)</f>
        <v>24700.1</v>
      </c>
      <c r="J599" s="108">
        <f>SUM(J592:J598)</f>
        <v>32384.58</v>
      </c>
      <c r="K599" s="108">
        <f>SUM(K592:K598)</f>
        <v>109778.24000000001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272256.37</v>
      </c>
      <c r="H618" s="109">
        <f>SUM(F52)</f>
        <v>272256.37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8824</v>
      </c>
      <c r="H620" s="109">
        <f>SUM(H52)</f>
        <v>8824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110726.55</v>
      </c>
      <c r="H622" s="109">
        <f>SUM(J52)</f>
        <v>110726.55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166213.07</v>
      </c>
      <c r="H623" s="109">
        <f>F477</f>
        <v>166213.06999999983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8824</v>
      </c>
      <c r="H625" s="109">
        <f>H477</f>
        <v>8824</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110726.55</v>
      </c>
      <c r="H627" s="109">
        <f>J477</f>
        <v>110726.55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1725213.41</v>
      </c>
      <c r="H628" s="104">
        <f>SUM(F469)</f>
        <v>1725213.41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2405.0500000000002</v>
      </c>
      <c r="H630" s="104">
        <f>SUM(H469)</f>
        <v>2405.0500000000002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15009.94</v>
      </c>
      <c r="H632" s="104">
        <f>SUM(J469)</f>
        <v>15009.94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1723286.53</v>
      </c>
      <c r="H633" s="104">
        <f>SUM(F473)</f>
        <v>1723286.53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11229.05</v>
      </c>
      <c r="H634" s="104">
        <f>SUM(H473)</f>
        <v>11229.05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15009.94</v>
      </c>
      <c r="H638" s="164">
        <f>SUM(J469)</f>
        <v>15009.94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110726.55</v>
      </c>
      <c r="H641" s="104">
        <f>SUM(G462)</f>
        <v>110726.55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110726.55</v>
      </c>
      <c r="H643" s="104">
        <f>SUM(I462)</f>
        <v>110726.55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9.94</v>
      </c>
      <c r="H645" s="104">
        <f>H409</f>
        <v>9.94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v>
      </c>
      <c r="H646" s="104">
        <f>G409</f>
        <v>15000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15009.94</v>
      </c>
      <c r="H647" s="104">
        <f>L409</f>
        <v>15009.94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109778.24000000001</v>
      </c>
      <c r="H648" s="104">
        <f>L209+L227+L245</f>
        <v>109778.24000000001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52693.56</v>
      </c>
      <c r="H650" s="104">
        <f>H599</f>
        <v>52693.56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24700.1</v>
      </c>
      <c r="H651" s="104">
        <f>I599</f>
        <v>24700.1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32384.58</v>
      </c>
      <c r="H652" s="104">
        <f>J599</f>
        <v>32384.58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v>
      </c>
      <c r="H656" s="104">
        <f>K267+K348</f>
        <v>15000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885488.87000000011</v>
      </c>
      <c r="G661" s="19">
        <f>(L230+L310+L360)</f>
        <v>361348.13999999996</v>
      </c>
      <c r="H661" s="19">
        <f>(L248+L329+L361)</f>
        <v>472678.57</v>
      </c>
      <c r="I661" s="19">
        <f>SUM(F661:H661)</f>
        <v>1719515.58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52693.56</v>
      </c>
      <c r="G663" s="19">
        <f>(L227+L307)-(J227+J307)</f>
        <v>24700.1</v>
      </c>
      <c r="H663" s="19">
        <f>(L245+L326)-(J245+J326)</f>
        <v>32384.58</v>
      </c>
      <c r="I663" s="19">
        <f>SUM(F663:H663)</f>
        <v>109778.24000000001</v>
      </c>
      <c r="J663"/>
      <c r="K663" s="13"/>
      <c r="L663" s="13"/>
      <c r="M663" s="9"/>
    </row>
    <row r="664" spans="1:13" s="3" customFormat="1" ht="12.2" customHeight="1" x14ac:dyDescent="0.15">
      <c r="A664" s="198" t="s">
        <v>129</v>
      </c>
      <c r="B664" s="169"/>
      <c r="C664" s="169"/>
      <c r="D664" s="169"/>
      <c r="E664" s="169"/>
      <c r="F664" s="199">
        <f>SUM(F576:F588)+SUM(H603:H605)+SUM(L612)</f>
        <v>808575.62</v>
      </c>
      <c r="G664" s="199">
        <f>SUM(G576:G588)+SUM(I603:I605)+L613</f>
        <v>329519</v>
      </c>
      <c r="H664" s="199">
        <f>SUM(H576:H588)+SUM(J603:J605)+L614</f>
        <v>430947</v>
      </c>
      <c r="I664" s="19">
        <f>SUM(F664:H664)</f>
        <v>1569041.62</v>
      </c>
      <c r="J664" s="13"/>
      <c r="K664" s="13"/>
      <c r="L664" s="13"/>
      <c r="M664" s="9"/>
    </row>
    <row r="665" spans="1:13" s="3" customFormat="1" ht="12.2" customHeight="1" x14ac:dyDescent="0.15">
      <c r="A665" s="1" t="s">
        <v>130</v>
      </c>
      <c r="F665" s="19">
        <f>F661-SUM(F662:F664)</f>
        <v>24219.690000000177</v>
      </c>
      <c r="G665" s="19">
        <f>G661-SUM(G662:G664)</f>
        <v>7129.039999999979</v>
      </c>
      <c r="H665" s="19">
        <f>H661-SUM(H662:H664)</f>
        <v>9346.9899999999907</v>
      </c>
      <c r="I665" s="19">
        <f>I661-SUM(I662:I664)</f>
        <v>40695.719999999972</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-24219.69</v>
      </c>
      <c r="G670" s="18">
        <v>-7129.04</v>
      </c>
      <c r="H670" s="18">
        <v>-9346.99</v>
      </c>
      <c r="I670" s="19">
        <f>SUM(F670:H670)</f>
        <v>-40695.72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37sy5FYWZQokJIeYUurHC12kpgpGg32kUiTjY3QVmE3VXrHlwHMk/MkOEz60/q0AbNQpLph4vIW/1wcfOPBnIw==" saltValue="cc/uvfh6PZi0aeEOFv8fdg=="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Albany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Albany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Albany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1549817.88</v>
      </c>
      <c r="D5" s="20">
        <f>SUM('DOE25'!L198:L201)+SUM('DOE25'!L216:L219)+SUM('DOE25'!L234:L237)-F5-G5-H5</f>
        <v>1485418.5399999998</v>
      </c>
      <c r="E5" s="243"/>
      <c r="F5" s="244">
        <f>SUM(40479.95+23919.39)</f>
        <v>64399.34</v>
      </c>
      <c r="G5" s="53">
        <f>SUM('DOE25'!J198:J201)+SUM('DOE25'!J216:J219)+SUM('DOE25'!J234:J237)</f>
        <v>0</v>
      </c>
      <c r="H5" s="53">
        <f>SUM('DOE25'!K198:K201)+SUM('DOE25'!K216:K219)+SUM('DOE25'!K234:K237)</f>
        <v>0</v>
      </c>
      <c r="I5" s="256"/>
    </row>
    <row r="6" spans="1:9" x14ac:dyDescent="0.2">
      <c r="A6" s="32">
        <v>2100</v>
      </c>
      <c r="B6" t="s">
        <v>796</v>
      </c>
      <c r="C6" s="276">
        <f t="shared" si="0"/>
        <v>17005.75</v>
      </c>
      <c r="D6" s="20">
        <f>'DOE25'!L203+'DOE25'!L221+'DOE25'!L239-F6-G6-H6</f>
        <v>17005.75</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16723.790000000005</v>
      </c>
      <c r="D8" s="243"/>
      <c r="E8" s="20">
        <f>'DOE25'!L205+'DOE25'!L223+'DOE25'!L241-F8-G8-H8-D9-D11</f>
        <v>16723.790000000005</v>
      </c>
      <c r="F8" s="244"/>
      <c r="G8" s="53">
        <f>'DOE25'!J205+'DOE25'!J223+'DOE25'!J241</f>
        <v>0</v>
      </c>
      <c r="H8" s="53">
        <f>'DOE25'!K205+'DOE25'!K223+'DOE25'!K241</f>
        <v>0</v>
      </c>
      <c r="I8" s="256"/>
    </row>
    <row r="9" spans="1:9" ht="14.25" x14ac:dyDescent="0.2">
      <c r="A9" s="32">
        <v>2310</v>
      </c>
      <c r="B9" s="185" t="s">
        <v>890</v>
      </c>
      <c r="C9" s="276">
        <f t="shared" si="0"/>
        <v>6485.66</v>
      </c>
      <c r="D9" s="244">
        <v>6485.66</v>
      </c>
      <c r="E9" s="243"/>
      <c r="F9" s="253"/>
      <c r="G9" s="253"/>
      <c r="H9" s="253"/>
      <c r="I9" s="256"/>
    </row>
    <row r="10" spans="1:9" ht="14.25" x14ac:dyDescent="0.2">
      <c r="A10" s="32">
        <v>2317</v>
      </c>
      <c r="B10" s="185" t="s">
        <v>891</v>
      </c>
      <c r="C10" s="276">
        <f t="shared" si="0"/>
        <v>3000</v>
      </c>
      <c r="D10" s="243"/>
      <c r="E10" s="244">
        <v>3000</v>
      </c>
      <c r="F10" s="253"/>
      <c r="G10" s="253"/>
      <c r="H10" s="253"/>
      <c r="I10" s="256"/>
    </row>
    <row r="11" spans="1:9" ht="14.25" x14ac:dyDescent="0.2">
      <c r="A11" s="32">
        <v>2321</v>
      </c>
      <c r="B11" s="185" t="s">
        <v>892</v>
      </c>
      <c r="C11" s="276">
        <f t="shared" si="0"/>
        <v>8475.2099999999991</v>
      </c>
      <c r="D11" s="244">
        <v>8475.2099999999991</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109778.24000000001</v>
      </c>
      <c r="D15" s="20">
        <f>'DOE25'!L209+'DOE25'!L227+'DOE25'!L245-F15-G15-H15</f>
        <v>0</v>
      </c>
      <c r="E15" s="243"/>
      <c r="F15" s="244">
        <v>109778.24000000001</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11229.05</v>
      </c>
      <c r="D31" s="20">
        <f>'DOE25'!L291+'DOE25'!L310+'DOE25'!L329+'DOE25'!L334+'DOE25'!L335+'DOE25'!L336-F31-G31-H31</f>
        <v>11229.05</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1528614.2099999997</v>
      </c>
      <c r="E33" s="245">
        <f t="shared" si="1"/>
        <v>19723.790000000005</v>
      </c>
      <c r="F33" s="245">
        <f t="shared" si="1"/>
        <v>174177.58000000002</v>
      </c>
      <c r="G33" s="245">
        <f t="shared" si="1"/>
        <v>0</v>
      </c>
      <c r="H33" s="245">
        <f t="shared" si="1"/>
        <v>0</v>
      </c>
      <c r="I33" s="245">
        <f t="shared" si="1"/>
        <v>0</v>
      </c>
    </row>
    <row r="35" spans="1:9" ht="12" thickBot="1" x14ac:dyDescent="0.25">
      <c r="B35" s="251" t="s">
        <v>831</v>
      </c>
      <c r="D35" s="252">
        <f>E33</f>
        <v>19723.790000000005</v>
      </c>
      <c r="E35" s="248"/>
    </row>
    <row r="36" spans="1:9" ht="12" thickTop="1" x14ac:dyDescent="0.2">
      <c r="B36" t="s">
        <v>810</v>
      </c>
      <c r="D36" s="20">
        <f>D33</f>
        <v>1528614.2099999997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5" sqref="A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Albany School District</v>
      </c>
      <c r="B2" s="126">
        <f>'DOE25'!B2</f>
        <v>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885488.87</v>
      </c>
      <c r="G4" s="303">
        <f>'DOE25'!L212+'DOE25'!L291</f>
        <v>885488.87000000011</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874259.82</v>
      </c>
      <c r="E5" s="294">
        <v>11229.05</v>
      </c>
      <c r="F5" s="312">
        <f>D5+E5</f>
        <v>885488.87</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361348.14</v>
      </c>
      <c r="G24" s="303">
        <f>'DOE25'!L230+'DOE25'!L310</f>
        <v>361348.13999999996</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361348.14</v>
      </c>
      <c r="E25" s="294"/>
      <c r="F25" s="307">
        <f>D25+E25</f>
        <v>361348.14</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472678.57</v>
      </c>
      <c r="G36" s="303">
        <f>'DOE25'!L248+'DOE25'!L329</f>
        <v>472678.57</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472678.57</v>
      </c>
      <c r="E37" s="294"/>
      <c r="F37" s="307">
        <f>D37+E37</f>
        <v>472678.57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15" activePane="bottomLeft" state="frozen"/>
      <selection activeCell="F46" sqref="F46"/>
      <selection pane="bottomLeft"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Albany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272256.37</v>
      </c>
      <c r="D8" s="95">
        <f>'DOE25'!G9</f>
        <v>0</v>
      </c>
      <c r="E8" s="95">
        <f>'DOE25'!H9</f>
        <v>0</v>
      </c>
      <c r="F8" s="95">
        <f>'DOE25'!I9</f>
        <v>0</v>
      </c>
      <c r="G8" s="95">
        <f>'DOE25'!J9</f>
        <v>110726.55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8824</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272256.37</v>
      </c>
      <c r="D18" s="41">
        <f>SUM(D8:D17)</f>
        <v>0</v>
      </c>
      <c r="E18" s="41">
        <f>SUM(E8:E17)</f>
        <v>8824</v>
      </c>
      <c r="F18" s="41">
        <f>SUM(F8:F17)</f>
        <v>0</v>
      </c>
      <c r="G18" s="41">
        <f>SUM(G8:G17)</f>
        <v>110726.55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74673.2</v>
      </c>
      <c r="D22" s="95">
        <f>'DOE25'!G23</f>
        <v>0</v>
      </c>
      <c r="E22" s="95">
        <f>'DOE25'!H23</f>
        <v>0</v>
      </c>
      <c r="F22" s="95">
        <f>'DOE25'!I23</f>
        <v>0</v>
      </c>
      <c r="G22" s="95">
        <f>'DOE25'!J23</f>
        <v>0</v>
      </c>
      <c r="H22" s="124"/>
      <c r="I22" s="124"/>
    </row>
    <row r="23" spans="1:9" x14ac:dyDescent="0.2">
      <c r="A23" s="1" t="s">
        <v>152</v>
      </c>
      <c r="B23" s="6">
        <v>420</v>
      </c>
      <c r="C23" s="95">
        <f>'DOE25'!F24</f>
        <v>17549.099999999999</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13821</v>
      </c>
      <c r="D30" s="95">
        <f>'DOE25'!G31</f>
        <v>0</v>
      </c>
      <c r="E30" s="95">
        <f>'DOE25'!H31</f>
        <v>0</v>
      </c>
      <c r="F30" s="95">
        <f>'DOE25'!I31</f>
        <v>0</v>
      </c>
      <c r="G30" s="95">
        <f>'DOE25'!J31</f>
        <v>0</v>
      </c>
      <c r="H30" s="124"/>
      <c r="I30" s="124"/>
    </row>
    <row r="31" spans="1:9" ht="12" thickTop="1" x14ac:dyDescent="0.2">
      <c r="A31" s="38" t="s">
        <v>160</v>
      </c>
      <c r="B31" s="2"/>
      <c r="C31" s="41">
        <f>SUM(C21:C30)</f>
        <v>106043.29999999999</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58341</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8824</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110726.55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107872.07</v>
      </c>
      <c r="D49" s="24" t="s">
        <v>288</v>
      </c>
      <c r="E49" s="24" t="s">
        <v>288</v>
      </c>
      <c r="F49" s="24" t="s">
        <v>288</v>
      </c>
      <c r="G49" s="24" t="s">
        <v>288</v>
      </c>
      <c r="H49" s="124"/>
      <c r="I49" s="124"/>
    </row>
    <row r="50" spans="1:9" ht="12.75" thickTop="1" thickBot="1" x14ac:dyDescent="0.25">
      <c r="A50" s="38" t="s">
        <v>884</v>
      </c>
      <c r="B50" s="48"/>
      <c r="C50" s="41">
        <f>SUM(C34:C49)</f>
        <v>166213.07</v>
      </c>
      <c r="D50" s="41">
        <f>SUM(D34:D49)</f>
        <v>0</v>
      </c>
      <c r="E50" s="41">
        <f>SUM(E34:E49)</f>
        <v>8824</v>
      </c>
      <c r="F50" s="41">
        <f>SUM(F34:F49)</f>
        <v>0</v>
      </c>
      <c r="G50" s="41">
        <f>SUM(G34:G49)</f>
        <v>110726.55</v>
      </c>
      <c r="H50" s="124"/>
      <c r="I50" s="124"/>
    </row>
    <row r="51" spans="1:9" ht="12" thickTop="1" x14ac:dyDescent="0.2">
      <c r="A51" s="38" t="s">
        <v>885</v>
      </c>
      <c r="B51" s="2"/>
      <c r="C51" s="41">
        <f>C50+C31</f>
        <v>272256.37</v>
      </c>
      <c r="D51" s="41">
        <f>D50+D31</f>
        <v>0</v>
      </c>
      <c r="E51" s="41">
        <f>E50+E31</f>
        <v>8824</v>
      </c>
      <c r="F51" s="41">
        <f>F50+F31</f>
        <v>0</v>
      </c>
      <c r="G51" s="41">
        <f>G50+G31</f>
        <v>110726.55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902522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261.75</v>
      </c>
      <c r="D59" s="95">
        <f>'DOE25'!G96</f>
        <v>0</v>
      </c>
      <c r="E59" s="95">
        <f>'DOE25'!H96</f>
        <v>0</v>
      </c>
      <c r="F59" s="95">
        <f>'DOE25'!I96</f>
        <v>0</v>
      </c>
      <c r="G59" s="95">
        <f>'DOE25'!J96</f>
        <v>9.94</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316.36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578.11</v>
      </c>
      <c r="D62" s="130">
        <f>SUM(D57:D61)</f>
        <v>0</v>
      </c>
      <c r="E62" s="130">
        <f>SUM(E57:E61)</f>
        <v>0</v>
      </c>
      <c r="F62" s="130">
        <f>SUM(F57:F61)</f>
        <v>0</v>
      </c>
      <c r="G62" s="130">
        <f>SUM(G57:G61)</f>
        <v>9.94</v>
      </c>
      <c r="H62"/>
      <c r="I62"/>
    </row>
    <row r="63" spans="1:9" ht="12" thickTop="1" x14ac:dyDescent="0.2">
      <c r="A63" s="29" t="s">
        <v>175</v>
      </c>
      <c r="B63" s="6"/>
      <c r="C63" s="22">
        <f>C56+C62</f>
        <v>903100.11</v>
      </c>
      <c r="D63" s="22">
        <f>D56+D62</f>
        <v>0</v>
      </c>
      <c r="E63" s="22">
        <f>E56+E62</f>
        <v>0</v>
      </c>
      <c r="F63" s="22">
        <f>F56+F62</f>
        <v>0</v>
      </c>
      <c r="G63" s="22">
        <f>G56+G62</f>
        <v>9.94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591666.87</v>
      </c>
      <c r="D66" s="24" t="s">
        <v>288</v>
      </c>
      <c r="E66" s="24" t="s">
        <v>288</v>
      </c>
      <c r="F66" s="24" t="s">
        <v>288</v>
      </c>
      <c r="G66" s="24" t="s">
        <v>288</v>
      </c>
      <c r="H66"/>
      <c r="I66"/>
    </row>
    <row r="67" spans="1:9" x14ac:dyDescent="0.2">
      <c r="A67" s="1" t="s">
        <v>770</v>
      </c>
      <c r="B67" s="6">
        <v>3112</v>
      </c>
      <c r="C67" s="95">
        <f>'DOE25'!F118</f>
        <v>209565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801231.87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801231.87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600.16</v>
      </c>
      <c r="D88" s="341">
        <f>SUM('DOE25'!G153:G162)</f>
        <v>0</v>
      </c>
      <c r="E88" s="341">
        <f>SUM('DOE25'!H153:H162)</f>
        <v>2405.0500000000002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20281.27</v>
      </c>
      <c r="D90" s="24" t="s">
        <v>288</v>
      </c>
      <c r="E90" s="24" t="s">
        <v>288</v>
      </c>
      <c r="F90" s="24" t="s">
        <v>288</v>
      </c>
      <c r="G90" s="24" t="s">
        <v>288</v>
      </c>
    </row>
    <row r="91" spans="1:9" ht="12.75" thickTop="1" thickBot="1" x14ac:dyDescent="0.25">
      <c r="A91" s="33" t="s">
        <v>750</v>
      </c>
      <c r="C91" s="131">
        <f>SUM(C85:C90)</f>
        <v>20881.43</v>
      </c>
      <c r="D91" s="131">
        <f>SUM(D85:D90)</f>
        <v>0</v>
      </c>
      <c r="E91" s="131">
        <f>SUM(E85:E90)</f>
        <v>2405.0500000000002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15000</v>
      </c>
    </row>
    <row r="104" spans="1:7" ht="12.75" thickTop="1" thickBot="1" x14ac:dyDescent="0.25">
      <c r="A104" s="33" t="s">
        <v>761</v>
      </c>
      <c r="C104" s="86">
        <f>C63+C81+C91+C103</f>
        <v>1725213.41</v>
      </c>
      <c r="D104" s="86">
        <f>D63+D81+D91+D103</f>
        <v>0</v>
      </c>
      <c r="E104" s="86">
        <f>E63+E81+E91+E103</f>
        <v>2405.0500000000002</v>
      </c>
      <c r="F104" s="86">
        <f>F63+F81+F91+F103</f>
        <v>0</v>
      </c>
      <c r="G104" s="86">
        <f>G63+G81+G103</f>
        <v>15009.94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1461228</v>
      </c>
      <c r="D109" s="24" t="s">
        <v>288</v>
      </c>
      <c r="E109" s="95">
        <f>('DOE25'!L277)+('DOE25'!L296)+('DOE25'!L315)</f>
        <v>0</v>
      </c>
      <c r="F109" s="24" t="s">
        <v>288</v>
      </c>
      <c r="G109" s="24" t="s">
        <v>288</v>
      </c>
    </row>
    <row r="110" spans="1:7" x14ac:dyDescent="0.2">
      <c r="A110" t="s">
        <v>198</v>
      </c>
      <c r="B110" s="32" t="s">
        <v>199</v>
      </c>
      <c r="C110" s="95">
        <f>('DOE25'!L199)+('DOE25'!L217)+('DOE25'!L235)</f>
        <v>88589.88</v>
      </c>
      <c r="D110" s="24" t="s">
        <v>288</v>
      </c>
      <c r="E110" s="95">
        <f>('DOE25'!L278)+('DOE25'!L297)+('DOE25'!L316)</f>
        <v>5714.8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1549817.88</v>
      </c>
      <c r="D115" s="86">
        <f>SUM(D109:D114)</f>
        <v>0</v>
      </c>
      <c r="E115" s="86">
        <f>SUM(E109:E114)</f>
        <v>5714.8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17005.75</v>
      </c>
      <c r="D118" s="24" t="s">
        <v>288</v>
      </c>
      <c r="E118" s="95">
        <f>+('DOE25'!L282)+('DOE25'!L301)+('DOE25'!L320)</f>
        <v>5514.25</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31684.660000000003</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109778.24000000001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158468.65000000002</v>
      </c>
      <c r="D128" s="86">
        <f>SUM(D118:D127)</f>
        <v>0</v>
      </c>
      <c r="E128" s="86">
        <f>SUM(E118:E127)</f>
        <v>5514.25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15009.94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-9.9400000000005093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15000</v>
      </c>
      <c r="D144" s="141">
        <f>SUM(D130:D143)</f>
        <v>0</v>
      </c>
      <c r="E144" s="141">
        <f>SUM(E130:E143)</f>
        <v>0</v>
      </c>
      <c r="F144" s="141">
        <f>SUM(F130:F143)</f>
        <v>0</v>
      </c>
      <c r="G144" s="141">
        <f>SUM(G130:G143)</f>
        <v>0</v>
      </c>
    </row>
    <row r="145" spans="1:9" ht="12.75" thickTop="1" thickBot="1" x14ac:dyDescent="0.25">
      <c r="A145" s="33" t="s">
        <v>244</v>
      </c>
      <c r="C145" s="86">
        <f>(C115+C128+C144)</f>
        <v>1723286.5299999998</v>
      </c>
      <c r="D145" s="86">
        <f>(D115+D128+D144)</f>
        <v>0</v>
      </c>
      <c r="E145" s="86">
        <f>(E115+E128+E144)</f>
        <v>11229.05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Albany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1461228</v>
      </c>
      <c r="D10" s="182">
        <f>ROUND((C10/$C$28)*100,1)</f>
        <v>85</v>
      </c>
    </row>
    <row r="11" spans="1:4" x14ac:dyDescent="0.2">
      <c r="A11">
        <v>1200</v>
      </c>
      <c r="B11" t="s">
        <v>703</v>
      </c>
      <c r="C11" s="179">
        <f>ROUND('DOE25'!L199+'DOE25'!L217+'DOE25'!L235+'DOE25'!L278+'DOE25'!L297+'DOE25'!L316,0)</f>
        <v>94305</v>
      </c>
      <c r="D11" s="182">
        <f>ROUND((C11/$C$28)*100,1)</f>
        <v>5.5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22520</v>
      </c>
      <c r="D15" s="182">
        <f t="shared" ref="D15:D27" si="0">ROUND((C15/$C$28)*100,1)</f>
        <v>1.3</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31685</v>
      </c>
      <c r="D17" s="182">
        <f t="shared" si="0"/>
        <v>1.8</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109778</v>
      </c>
      <c r="D21" s="182">
        <f t="shared" si="0"/>
        <v>6.4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1719516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1719516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902522</v>
      </c>
      <c r="D35" s="182">
        <f t="shared" ref="D35:D40" si="1">ROUND((C35/$C$41)*100,1)</f>
        <v>52.2</v>
      </c>
    </row>
    <row r="36" spans="1:4" x14ac:dyDescent="0.2">
      <c r="B36" s="185" t="s">
        <v>739</v>
      </c>
      <c r="C36" s="179">
        <f>SUM('DOE25'!F112:J112)-SUM('DOE25'!G97:G110)+('DOE25'!F175+'DOE25'!F176+'DOE25'!I175+'DOE25'!I176)-C35</f>
        <v>588.04999999993015</v>
      </c>
      <c r="D36" s="182">
        <f t="shared" si="1"/>
        <v>0</v>
      </c>
    </row>
    <row r="37" spans="1:4" x14ac:dyDescent="0.2">
      <c r="A37" s="183" t="s">
        <v>835</v>
      </c>
      <c r="B37" s="185" t="s">
        <v>728</v>
      </c>
      <c r="C37" s="179">
        <f>ROUND('DOE25'!F117+'DOE25'!F118,0)</f>
        <v>801232</v>
      </c>
      <c r="D37" s="182">
        <f t="shared" si="1"/>
        <v>46.4</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23286</v>
      </c>
      <c r="D39" s="182">
        <f t="shared" si="1"/>
        <v>1.3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1727628.0499999998</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Albany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2020-09-30T17:10:04Z</cp:lastPrinted>
  <dcterms:created xsi:type="dcterms:W3CDTF">1997-12-04T19:04:30Z</dcterms:created>
  <dcterms:modified xsi:type="dcterms:W3CDTF">2020-10-21T15:10:14Z</dcterms:modified>
</cp:coreProperties>
</file>