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6" i="12" l="1"/>
  <c r="B36" i="12"/>
  <c r="C27" i="12"/>
  <c r="B27" i="12"/>
  <c r="C18" i="12"/>
  <c r="B18" i="12"/>
  <c r="C9" i="12"/>
  <c r="B9" i="12"/>
  <c r="F50" i="1"/>
  <c r="B20" i="12"/>
  <c r="H159" i="1"/>
  <c r="H155" i="1"/>
  <c r="G158" i="1"/>
  <c r="G97" i="1"/>
  <c r="F110" i="1"/>
  <c r="H23" i="1"/>
  <c r="G23" i="1"/>
  <c r="G28" i="1"/>
  <c r="G10" i="1"/>
  <c r="F29" i="1"/>
  <c r="F28" i="1"/>
  <c r="F9" i="1"/>
  <c r="B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F36"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c r="L245" i="1"/>
  <c r="G652"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342" i="1"/>
  <c r="C32" i="10"/>
  <c r="L262" i="1"/>
  <c r="C132" i="2"/>
  <c r="L343" i="1"/>
  <c r="E132" i="2"/>
  <c r="L256" i="1"/>
  <c r="C130" i="2"/>
  <c r="L337" i="1"/>
  <c r="E130" i="2"/>
  <c r="C11" i="13"/>
  <c r="C10" i="13"/>
  <c r="C9" i="13"/>
  <c r="L362" i="1"/>
  <c r="B4" i="12"/>
  <c r="B40" i="12"/>
  <c r="C40" i="12"/>
  <c r="B31" i="12"/>
  <c r="C31" i="12"/>
  <c r="B13" i="12"/>
  <c r="C13" i="12"/>
  <c r="C22" i="12"/>
  <c r="B1" i="12"/>
  <c r="L388" i="1"/>
  <c r="L389" i="1"/>
  <c r="L390" i="1"/>
  <c r="L391" i="1"/>
  <c r="L392" i="1"/>
  <c r="L393" i="1"/>
  <c r="L396" i="1"/>
  <c r="L397" i="1"/>
  <c r="L398" i="1"/>
  <c r="L399" i="1"/>
  <c r="L400" i="1"/>
  <c r="L401" i="1"/>
  <c r="L404" i="1"/>
  <c r="L405" i="1"/>
  <c r="L406" i="1"/>
  <c r="L407" i="1"/>
  <c r="L267" i="1"/>
  <c r="J60" i="1"/>
  <c r="G56" i="2"/>
  <c r="G59" i="2"/>
  <c r="G61" i="2"/>
  <c r="G62" i="2"/>
  <c r="F2" i="11"/>
  <c r="L614" i="1"/>
  <c r="H664" i="1"/>
  <c r="L613" i="1"/>
  <c r="G664" i="1"/>
  <c r="L612" i="1"/>
  <c r="F664" i="1"/>
  <c r="C40" i="10"/>
  <c r="F60" i="1"/>
  <c r="G60" i="1"/>
  <c r="D56" i="2"/>
  <c r="H60" i="1"/>
  <c r="I60" i="1"/>
  <c r="F56" i="2"/>
  <c r="F79" i="1"/>
  <c r="C57" i="2"/>
  <c r="F94" i="1"/>
  <c r="C58" i="2"/>
  <c r="F111" i="1"/>
  <c r="G111" i="1"/>
  <c r="H79" i="1"/>
  <c r="H94" i="1"/>
  <c r="E58" i="2"/>
  <c r="H111" i="1"/>
  <c r="I111" i="1"/>
  <c r="J111" i="1"/>
  <c r="F121" i="1"/>
  <c r="F136" i="1"/>
  <c r="G121" i="1"/>
  <c r="G136" i="1"/>
  <c r="H121" i="1"/>
  <c r="H136" i="1"/>
  <c r="I121" i="1"/>
  <c r="I136" i="1"/>
  <c r="J121" i="1"/>
  <c r="J136" i="1"/>
  <c r="F147" i="1"/>
  <c r="C85" i="2"/>
  <c r="F170" i="1"/>
  <c r="G147" i="1"/>
  <c r="D85" i="2"/>
  <c r="H147" i="1"/>
  <c r="H170" i="1"/>
  <c r="I147" i="1"/>
  <c r="L251" i="1"/>
  <c r="C113" i="2"/>
  <c r="L333" i="1"/>
  <c r="E113" i="2"/>
  <c r="L255" i="1"/>
  <c r="L269" i="1"/>
  <c r="L270" i="1"/>
  <c r="C143" i="2"/>
  <c r="L350" i="1"/>
  <c r="E142" i="2"/>
  <c r="L351" i="1"/>
  <c r="E143" i="2"/>
  <c r="I666" i="1"/>
  <c r="I671" i="1"/>
  <c r="I670" i="1"/>
  <c r="C42" i="10"/>
  <c r="L375" i="1"/>
  <c r="L376" i="1"/>
  <c r="L377" i="1"/>
  <c r="L378" i="1"/>
  <c r="L379" i="1"/>
  <c r="L380" i="1"/>
  <c r="L381" i="1"/>
  <c r="B2" i="10"/>
  <c r="L345" i="1"/>
  <c r="E134" i="2"/>
  <c r="L346" i="1"/>
  <c r="E135" i="2"/>
  <c r="L347" i="1"/>
  <c r="E137" i="2"/>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1" i="2"/>
  <c r="K271" i="1"/>
  <c r="J271" i="1"/>
  <c r="I271" i="1"/>
  <c r="H271" i="1"/>
  <c r="G271" i="1"/>
  <c r="F271" i="1"/>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E34" i="2"/>
  <c r="F34" i="2"/>
  <c r="C35" i="2"/>
  <c r="D35" i="2"/>
  <c r="E35" i="2"/>
  <c r="F35" i="2"/>
  <c r="I455" i="1"/>
  <c r="J49" i="1"/>
  <c r="G48" i="2"/>
  <c r="I457" i="1"/>
  <c r="J43" i="1"/>
  <c r="I458" i="1"/>
  <c r="J37" i="1"/>
  <c r="G36" i="2"/>
  <c r="I460" i="1"/>
  <c r="J48" i="1"/>
  <c r="G47" i="2"/>
  <c r="C49" i="2"/>
  <c r="E56"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D144" i="2"/>
  <c r="F134" i="2"/>
  <c r="K420" i="1"/>
  <c r="K428" i="1"/>
  <c r="K434" i="1"/>
  <c r="L264" i="1"/>
  <c r="C135" i="2"/>
  <c r="L265" i="1"/>
  <c r="C136" i="2"/>
  <c r="L266" i="1"/>
  <c r="C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G619" i="1"/>
  <c r="H19" i="1"/>
  <c r="G620" i="1"/>
  <c r="I19" i="1"/>
  <c r="G621" i="1"/>
  <c r="F32" i="1"/>
  <c r="F52" i="1"/>
  <c r="H618" i="1"/>
  <c r="G32" i="1"/>
  <c r="G52" i="1"/>
  <c r="H619" i="1"/>
  <c r="H32" i="1"/>
  <c r="I32" i="1"/>
  <c r="H51" i="1"/>
  <c r="G625" i="1"/>
  <c r="I51" i="1"/>
  <c r="F178" i="1"/>
  <c r="I178" i="1"/>
  <c r="F184" i="1"/>
  <c r="G184" i="1"/>
  <c r="H184" i="1"/>
  <c r="H189" i="1"/>
  <c r="H193" i="1"/>
  <c r="I184" i="1"/>
  <c r="J184" i="1"/>
  <c r="J193" i="1"/>
  <c r="F189" i="1"/>
  <c r="G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c r="J363" i="1"/>
  <c r="K363" i="1"/>
  <c r="I369" i="1"/>
  <c r="I370" i="1"/>
  <c r="H635" i="1"/>
  <c r="F370" i="1"/>
  <c r="G370" i="1"/>
  <c r="H370" i="1"/>
  <c r="L382" i="1"/>
  <c r="F383" i="1"/>
  <c r="G383" i="1"/>
  <c r="H383" i="1"/>
  <c r="I383" i="1"/>
  <c r="J383" i="1"/>
  <c r="K383" i="1"/>
  <c r="F394" i="1"/>
  <c r="G394" i="1"/>
  <c r="H394" i="1"/>
  <c r="I394" i="1"/>
  <c r="F402" i="1"/>
  <c r="F408" i="1"/>
  <c r="F409" i="1"/>
  <c r="H644" i="1"/>
  <c r="G402" i="1"/>
  <c r="H402" i="1"/>
  <c r="I402"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G641" i="1"/>
  <c r="H447" i="1"/>
  <c r="G642" i="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3" i="1"/>
  <c r="H653" i="1"/>
  <c r="G654" i="1"/>
  <c r="H654" i="1"/>
  <c r="G655" i="1"/>
  <c r="H655" i="1"/>
  <c r="H656" i="1"/>
  <c r="J258" i="1"/>
  <c r="I170" i="1"/>
  <c r="J140" i="1"/>
  <c r="A40" i="12"/>
  <c r="J572" i="1"/>
  <c r="G553" i="1"/>
  <c r="G477" i="1"/>
  <c r="H624" i="1"/>
  <c r="J624" i="1"/>
  <c r="I409" i="1"/>
  <c r="H409" i="1"/>
  <c r="H645" i="1"/>
  <c r="E112" i="2"/>
  <c r="E111" i="2"/>
  <c r="E125" i="2"/>
  <c r="E124" i="2"/>
  <c r="E123" i="2"/>
  <c r="E121" i="2"/>
  <c r="E120" i="2"/>
  <c r="E119" i="2"/>
  <c r="E110" i="2"/>
  <c r="K339" i="1"/>
  <c r="K353" i="1"/>
  <c r="G339" i="1"/>
  <c r="G353" i="1"/>
  <c r="C125" i="2"/>
  <c r="C131" i="2"/>
  <c r="H663" i="1"/>
  <c r="C119" i="2"/>
  <c r="C112" i="2"/>
  <c r="C12" i="10"/>
  <c r="C120" i="2"/>
  <c r="C11" i="10"/>
  <c r="F258" i="1"/>
  <c r="F272" i="1"/>
  <c r="J656" i="1"/>
  <c r="J112" i="1"/>
  <c r="J194" i="1"/>
  <c r="G647" i="1"/>
  <c r="I112" i="1"/>
  <c r="H140" i="1"/>
  <c r="C91" i="2"/>
  <c r="D15" i="13"/>
  <c r="C15" i="13"/>
  <c r="C13" i="10"/>
  <c r="A31" i="12"/>
  <c r="D18" i="13"/>
  <c r="C18" i="13"/>
  <c r="C20" i="10"/>
  <c r="D50" i="2"/>
  <c r="C110" i="2"/>
  <c r="G663" i="1"/>
  <c r="E114" i="2"/>
  <c r="J652" i="1"/>
  <c r="H462" i="1"/>
  <c r="H642" i="1"/>
  <c r="J642" i="1"/>
  <c r="G409" i="1"/>
  <c r="H646" i="1"/>
  <c r="J646" i="1"/>
  <c r="L257" i="1"/>
  <c r="G662" i="1"/>
  <c r="C121" i="2"/>
  <c r="D6" i="13"/>
  <c r="C6" i="13"/>
  <c r="E13" i="13"/>
  <c r="C13" i="13"/>
  <c r="H477" i="1"/>
  <c r="H625" i="1"/>
  <c r="J625" i="1"/>
  <c r="H112" i="1"/>
  <c r="L402" i="1"/>
  <c r="C139" i="2"/>
  <c r="F339" i="1"/>
  <c r="F353" i="1"/>
  <c r="L561" i="1"/>
  <c r="G462" i="1"/>
  <c r="H641" i="1"/>
  <c r="J641" i="1"/>
  <c r="E103" i="2"/>
  <c r="D18" i="2"/>
  <c r="H553" i="1"/>
  <c r="L310" i="1"/>
  <c r="I546" i="1"/>
  <c r="F462" i="1"/>
  <c r="H640" i="1"/>
  <c r="J640" i="1"/>
  <c r="K606" i="1"/>
  <c r="G649" i="1"/>
  <c r="H258" i="1"/>
  <c r="H272" i="1"/>
  <c r="I52" i="1"/>
  <c r="H621" i="1"/>
  <c r="J621" i="1"/>
  <c r="D31" i="2"/>
  <c r="E31" i="2"/>
  <c r="C18" i="2"/>
  <c r="F18" i="2"/>
  <c r="L271" i="1"/>
  <c r="F662" i="1"/>
  <c r="F572" i="1"/>
  <c r="L420" i="1"/>
  <c r="D91" i="2"/>
  <c r="D81" i="2"/>
  <c r="E78" i="2"/>
  <c r="E81" i="2"/>
  <c r="G546" i="1"/>
  <c r="J644" i="1"/>
  <c r="F112" i="1"/>
  <c r="L394" i="1"/>
  <c r="C138" i="2"/>
  <c r="L363" i="1"/>
  <c r="B17" i="16"/>
  <c r="B19" i="16"/>
  <c r="B28" i="16"/>
  <c r="L329" i="1"/>
  <c r="E122" i="2"/>
  <c r="L291" i="1"/>
  <c r="B33" i="16"/>
  <c r="L615" i="1"/>
  <c r="K599" i="1"/>
  <c r="G648" i="1"/>
  <c r="K572" i="1"/>
  <c r="L571" i="1"/>
  <c r="H572" i="1"/>
  <c r="L566" i="1"/>
  <c r="I572" i="1"/>
  <c r="K546" i="1"/>
  <c r="H52" i="1"/>
  <c r="H620" i="1"/>
  <c r="J620" i="1"/>
  <c r="C114" i="2"/>
  <c r="G112" i="1"/>
  <c r="B10" i="16"/>
  <c r="E118" i="2"/>
  <c r="L248" i="1"/>
  <c r="L212" i="1"/>
  <c r="H648" i="1"/>
  <c r="J645" i="1"/>
  <c r="J635" i="1"/>
  <c r="G626" i="1"/>
  <c r="L530" i="1"/>
  <c r="H546" i="1"/>
  <c r="G164" i="2"/>
  <c r="G161" i="2"/>
  <c r="G157" i="2"/>
  <c r="G156" i="2"/>
  <c r="G81" i="2"/>
  <c r="C78" i="2"/>
  <c r="F78" i="2"/>
  <c r="F81" i="2"/>
  <c r="C70" i="2"/>
  <c r="D62" i="2"/>
  <c r="D63" i="2"/>
  <c r="E57" i="2"/>
  <c r="E62" i="2"/>
  <c r="E63" i="2"/>
  <c r="C26" i="10"/>
  <c r="C18" i="10"/>
  <c r="J546" i="1"/>
  <c r="I477" i="1"/>
  <c r="H626" i="1"/>
  <c r="J477" i="1"/>
  <c r="H627" i="1"/>
  <c r="F477" i="1"/>
  <c r="H623" i="1"/>
  <c r="J623" i="1"/>
  <c r="L434" i="1"/>
  <c r="L428" i="1"/>
  <c r="I258" i="1"/>
  <c r="I272" i="1"/>
  <c r="K258" i="1"/>
  <c r="K272" i="1"/>
  <c r="G193" i="1"/>
  <c r="B13" i="16"/>
  <c r="F193" i="1"/>
  <c r="J553" i="1"/>
  <c r="I553" i="1"/>
  <c r="K550" i="1"/>
  <c r="F553" i="1"/>
  <c r="L352" i="1"/>
  <c r="F130" i="2"/>
  <c r="F144" i="2" s="1"/>
  <c r="F145" i="2" s="1"/>
  <c r="G170" i="1"/>
  <c r="B12" i="16"/>
  <c r="J618" i="1"/>
  <c r="K552" i="1"/>
  <c r="I25" i="13"/>
  <c r="K551" i="1"/>
  <c r="J272" i="1"/>
  <c r="L535" i="1"/>
  <c r="K501" i="1"/>
  <c r="I461" i="1"/>
  <c r="I453" i="1"/>
  <c r="I447" i="1"/>
  <c r="G643" i="1"/>
  <c r="H339" i="1"/>
  <c r="H353" i="1"/>
  <c r="C123" i="2"/>
  <c r="E109" i="2"/>
  <c r="C56" i="2"/>
  <c r="F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C35" i="10"/>
  <c r="C29" i="10"/>
  <c r="G650" i="1"/>
  <c r="J650" i="1"/>
  <c r="L545" i="1"/>
  <c r="L525" i="1"/>
  <c r="J339" i="1"/>
  <c r="J353" i="1"/>
  <c r="D127" i="2"/>
  <c r="D128" i="2"/>
  <c r="D145" i="2"/>
  <c r="C124" i="2"/>
  <c r="C122" i="2"/>
  <c r="C118" i="2"/>
  <c r="C19" i="10"/>
  <c r="C16" i="10"/>
  <c r="D17" i="13"/>
  <c r="C17" i="13"/>
  <c r="D7" i="13"/>
  <c r="C7" i="13"/>
  <c r="E16" i="13"/>
  <c r="C16" i="13"/>
  <c r="C10" i="10"/>
  <c r="C109" i="2"/>
  <c r="L230" i="1"/>
  <c r="L338" i="1"/>
  <c r="F62" i="2"/>
  <c r="F63" i="2"/>
  <c r="C23" i="10"/>
  <c r="G163" i="2"/>
  <c r="G162" i="2"/>
  <c r="G160" i="2"/>
  <c r="G159" i="2"/>
  <c r="G158" i="2"/>
  <c r="G103" i="2"/>
  <c r="F103" i="2"/>
  <c r="C103" i="2"/>
  <c r="F91" i="2"/>
  <c r="E50" i="2"/>
  <c r="C50" i="2"/>
  <c r="F31" i="2"/>
  <c r="C31" i="2"/>
  <c r="E18" i="2"/>
  <c r="E144" i="2"/>
  <c r="F50" i="2"/>
  <c r="C24" i="10"/>
  <c r="H31" i="13"/>
  <c r="H33" i="13"/>
  <c r="I339" i="1"/>
  <c r="I353" i="1"/>
  <c r="J651" i="1"/>
  <c r="L408" i="1"/>
  <c r="C140" i="2"/>
  <c r="I193" i="1"/>
  <c r="E91" i="2"/>
  <c r="J655" i="1"/>
  <c r="J654" i="1"/>
  <c r="G21" i="2"/>
  <c r="G31" i="2"/>
  <c r="J32" i="1"/>
  <c r="J435" i="1"/>
  <c r="F435" i="1"/>
  <c r="K435" i="1"/>
  <c r="G134" i="2"/>
  <c r="G144" i="2"/>
  <c r="G145" i="2"/>
  <c r="G31" i="13"/>
  <c r="G140" i="1"/>
  <c r="B11" i="16"/>
  <c r="F140" i="1"/>
  <c r="G63" i="2"/>
  <c r="J619" i="1"/>
  <c r="G42" i="2"/>
  <c r="G50" i="2"/>
  <c r="J51" i="1"/>
  <c r="G16" i="2"/>
  <c r="G18" i="2"/>
  <c r="J19" i="1"/>
  <c r="G622" i="1"/>
  <c r="F546" i="1"/>
  <c r="H435" i="1"/>
  <c r="D103" i="2"/>
  <c r="I140" i="1"/>
  <c r="A22" i="12"/>
  <c r="H649" i="1"/>
  <c r="J653" i="1"/>
  <c r="G572" i="1"/>
  <c r="I435" i="1"/>
  <c r="G435" i="1"/>
  <c r="I664" i="1"/>
  <c r="L572" i="1"/>
  <c r="C141" i="2"/>
  <c r="C144" i="2"/>
  <c r="H661" i="1"/>
  <c r="H665" i="1"/>
  <c r="H668" i="1"/>
  <c r="G24" i="14"/>
  <c r="H24" i="14"/>
  <c r="I24" i="14"/>
  <c r="F661" i="1"/>
  <c r="F665" i="1"/>
  <c r="F668" i="1"/>
  <c r="I663" i="1"/>
  <c r="C81" i="2"/>
  <c r="E128" i="2"/>
  <c r="H194" i="1"/>
  <c r="G630" i="1"/>
  <c r="J630" i="1"/>
  <c r="F194" i="1"/>
  <c r="G628" i="1"/>
  <c r="J628" i="1"/>
  <c r="F51" i="2"/>
  <c r="E51" i="2"/>
  <c r="D51" i="2"/>
  <c r="G36" i="14"/>
  <c r="H36" i="14"/>
  <c r="I36" i="14"/>
  <c r="E115" i="2"/>
  <c r="E104" i="2"/>
  <c r="C36" i="10"/>
  <c r="L435" i="1"/>
  <c r="G639" i="1"/>
  <c r="J639" i="1"/>
  <c r="I662" i="1"/>
  <c r="G104" i="2"/>
  <c r="L339" i="1"/>
  <c r="L353" i="1"/>
  <c r="G634" i="1"/>
  <c r="J634" i="1"/>
  <c r="J649" i="1"/>
  <c r="I194" i="1"/>
  <c r="G631" i="1"/>
  <c r="J631" i="1"/>
  <c r="G636" i="1"/>
  <c r="J636" i="1"/>
  <c r="G51" i="2"/>
  <c r="D104" i="2"/>
  <c r="L409" i="1"/>
  <c r="C27" i="10"/>
  <c r="C28" i="10"/>
  <c r="D23" i="10"/>
  <c r="G4" i="14"/>
  <c r="H4" i="14"/>
  <c r="I4" i="14"/>
  <c r="L546" i="1"/>
  <c r="J626" i="1"/>
  <c r="F104" i="2"/>
  <c r="B14" i="16"/>
  <c r="B22" i="16"/>
  <c r="E33" i="13"/>
  <c r="D35" i="13"/>
  <c r="J648" i="1"/>
  <c r="L258" i="1"/>
  <c r="L272" i="1"/>
  <c r="G633" i="1"/>
  <c r="J633" i="1"/>
  <c r="C115" i="2"/>
  <c r="C63" i="2"/>
  <c r="C104" i="2"/>
  <c r="C39" i="10"/>
  <c r="G33" i="13"/>
  <c r="C128" i="2"/>
  <c r="D31" i="13"/>
  <c r="C31" i="13"/>
  <c r="I462" i="1"/>
  <c r="H643" i="1"/>
  <c r="J643" i="1"/>
  <c r="G661" i="1"/>
  <c r="G665" i="1"/>
  <c r="G673" i="1"/>
  <c r="C5" i="10"/>
  <c r="C25" i="13"/>
  <c r="I33" i="13"/>
  <c r="K553" i="1"/>
  <c r="C51" i="2"/>
  <c r="G632" i="1"/>
  <c r="J632" i="1"/>
  <c r="G194" i="1"/>
  <c r="G629" i="1"/>
  <c r="J629" i="1"/>
  <c r="G627" i="1"/>
  <c r="J627" i="1"/>
  <c r="J52" i="1"/>
  <c r="H622" i="1"/>
  <c r="J622" i="1"/>
  <c r="C38" i="10"/>
  <c r="E145" i="2"/>
  <c r="H673" i="1"/>
  <c r="C6" i="10"/>
  <c r="F673" i="1"/>
  <c r="C4" i="10"/>
  <c r="I661" i="1"/>
  <c r="I665" i="1"/>
  <c r="I673" i="1"/>
  <c r="C7" i="10"/>
  <c r="G668" i="1"/>
  <c r="C145" i="2"/>
  <c r="D25" i="10"/>
  <c r="G638" i="1"/>
  <c r="J638" i="1"/>
  <c r="H647" i="1"/>
  <c r="J647" i="1"/>
  <c r="D22" i="10"/>
  <c r="D18" i="10"/>
  <c r="D27" i="10"/>
  <c r="D15" i="10"/>
  <c r="D21" i="10"/>
  <c r="D24" i="10"/>
  <c r="D20" i="10"/>
  <c r="D11" i="10"/>
  <c r="D12" i="10"/>
  <c r="D13" i="10"/>
  <c r="D17" i="10"/>
  <c r="D19" i="10"/>
  <c r="D10" i="10"/>
  <c r="D26" i="10"/>
  <c r="C30" i="10"/>
  <c r="D16" i="10"/>
  <c r="D33" i="13"/>
  <c r="D36" i="13"/>
  <c r="C41" i="10"/>
  <c r="D38" i="10"/>
  <c r="I668" i="1"/>
  <c r="H657" i="1"/>
  <c r="D28" i="10"/>
  <c r="D37" i="10"/>
  <c r="D36" i="10"/>
  <c r="D35" i="10"/>
  <c r="D40" i="10"/>
  <c r="D39" i="10"/>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<sst xmlns="http://schemas.openxmlformats.org/spreadsheetml/2006/main" count="5548" uniqueCount="1646">
  <si>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</si>
  <si>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</si>
  <si>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</si>
  <si>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</si>
  <si>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</si>
  <si>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</si>
  <si>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</si>
  <si>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</si>
  <si>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</si>
  <si>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</si>
  <si>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</si>
  <si>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</si>
  <si>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</si>
  <si>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</si>
  <si>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</si>
  <si>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</si>
  <si>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</si>
  <si>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</si>
  <si>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</si>
  <si>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</si>
  <si>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</si>
  <si>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</si>
  <si>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</si>
  <si>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</si>
  <si>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</si>
  <si>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</si>
  <si>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</si>
  <si>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</si>
  <si>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</si>
  <si>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</si>
  <si>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</si>
  <si>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</si>
  <si>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</si>
  <si>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</si>
  <si>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</si>
  <si>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</si>
  <si>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</si>
  <si>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</si>
  <si>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</si>
  <si>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</si>
  <si>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</si>
  <si>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</si>
  <si>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</si>
  <si>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</si>
  <si>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</si>
  <si>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</si>
  <si>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</si>
  <si>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</si>
  <si>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</si>
  <si>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</si>
  <si>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</si>
  <si>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</si>
  <si>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</si>
  <si>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</si>
  <si>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</si>
  <si>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</si>
  <si>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</si>
  <si>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</si>
  <si>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</si>
  <si>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</si>
  <si>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</si>
  <si>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</si>
  <si>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</si>
  <si>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</si>
  <si>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</si>
  <si>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</si>
  <si>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</si>
  <si>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</si>
  <si>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</si>
  <si>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</si>
  <si>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</si>
  <si>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</si>
  <si>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</si>
  <si>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</si>
  <si>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</si>
  <si>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</si>
  <si>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</si>
  <si>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</si>
  <si>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</si>
  <si>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</si>
  <si>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</si>
  <si>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</si>
  <si>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</si>
  <si>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</si>
  <si>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</si>
  <si>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</si>
  <si>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</si>
  <si>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</si>
  <si>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</si>
  <si>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</si>
  <si>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</si>
  <si>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</si>
  <si>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</si>
  <si>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</si>
  <si>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</si>
  <si>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</si>
  <si>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</si>
  <si>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</si>
  <si>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</si>
  <si>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</si>
  <si>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</si>
  <si>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</si>
  <si>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</si>
  <si>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</si>
  <si>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</si>
  <si>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</si>
  <si>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</si>
  <si>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</si>
  <si>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</si>
  <si>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</si>
  <si>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</si>
  <si>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</si>
  <si>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</si>
  <si>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</si>
  <si>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</si>
  <si>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</si>
  <si>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</si>
  <si>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</si>
  <si>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</si>
  <si>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</si>
  <si>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</si>
  <si>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</si>
  <si>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</si>
  <si>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</si>
  <si>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</si>
  <si>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</si>
  <si>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</si>
  <si>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</si>
  <si>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</si>
  <si>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</si>
  <si>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</si>
  <si>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</si>
  <si>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</si>
  <si>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</si>
  <si>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</si>
  <si>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</si>
  <si>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</si>
  <si>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</si>
  <si>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</si>
  <si>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</si>
  <si>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</si>
  <si>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</si>
  <si>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</si>
  <si>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</si>
  <si>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</si>
  <si>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</si>
  <si>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</si>
  <si>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</si>
  <si>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</si>
  <si>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</si>
  <si>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</si>
  <si>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</si>
  <si>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</si>
  <si>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</si>
  <si>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</si>
  <si>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</si>
  <si>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</si>
  <si>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</si>
  <si>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</si>
  <si>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</si>
  <si>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</si>
  <si>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</si>
  <si>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</si>
  <si>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</si>
  <si>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</si>
  <si>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</si>
  <si>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</si>
  <si>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</si>
  <si>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</si>
  <si>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</si>
  <si>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</si>
  <si>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</si>
  <si>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</si>
  <si>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</si>
  <si>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</si>
  <si>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</si>
  <si>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</si>
  <si>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</si>
  <si>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</si>
  <si>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</si>
  <si>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</si>
  <si>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</si>
  <si>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</si>
  <si>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</si>
  <si>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</si>
  <si>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</si>
  <si>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</si>
  <si>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</si>
  <si>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</si>
  <si>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</si>
  <si>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</si>
  <si>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</si>
  <si>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</si>
  <si>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</si>
  <si>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</si>
  <si>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</si>
  <si>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</si>
  <si>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</si>
  <si>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</si>
  <si>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</si>
  <si>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</si>
  <si>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</si>
  <si>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</si>
  <si>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</si>
  <si>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</si>
  <si>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</si>
  <si>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</si>
  <si>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</si>
  <si>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</si>
  <si>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</si>
  <si>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</si>
  <si>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</si>
  <si>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</si>
  <si>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</si>
  <si>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</si>
  <si>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</si>
  <si>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</si>
  <si>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</si>
  <si>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</si>
  <si>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</si>
  <si>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</si>
  <si>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</si>
  <si>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</si>
  <si>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</si>
  <si>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</si>
  <si>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</si>
  <si>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</si>
  <si>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</si>
  <si>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</si>
  <si>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</si>
  <si>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</si>
  <si>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</si>
  <si>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</si>
  <si>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</si>
  <si>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</si>
  <si>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</si>
  <si>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</si>
  <si>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</si>
  <si>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</si>
  <si>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</si>
  <si>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</si>
  <si>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</si>
  <si>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</si>
  <si>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</si>
  <si>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</si>
  <si>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</si>
  <si>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</si>
  <si>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</si>
  <si>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</si>
  <si>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</si>
  <si>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</si>
  <si>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</si>
  <si>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</si>
  <si>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</si>
  <si>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</si>
  <si>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</si>
  <si>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</si>
  <si>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</si>
  <si>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</si>
  <si>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</si>
  <si>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</si>
  <si>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</si>
  <si>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</si>
  <si>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</si>
  <si>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</si>
  <si>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</si>
  <si>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</si>
  <si>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</si>
  <si>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</si>
  <si>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</si>
  <si>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</si>
  <si>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</si>
  <si>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</si>
  <si>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</si>
  <si>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</si>
  <si>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</si>
  <si>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</si>
  <si>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</si>
  <si>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</si>
  <si>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</si>
  <si>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</si>
  <si>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</si>
  <si>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</si>
  <si>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</si>
  <si>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</si>
  <si>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</si>
  <si>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</si>
  <si>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</si>
  <si>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</si>
  <si>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</si>
  <si>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</si>
  <si>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</si>
  <si>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</si>
  <si>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</si>
  <si>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</si>
  <si>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</si>
  <si>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</si>
  <si>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</si>
  <si>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</si>
  <si>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</si>
  <si>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</si>
  <si>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</si>
  <si>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</si>
  <si>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</si>
  <si>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</si>
  <si>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</si>
  <si>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</si>
  <si>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</si>
  <si>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</si>
  <si>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</si>
  <si>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</si>
  <si>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</si>
  <si>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</si>
  <si>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</si>
  <si>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</si>
  <si>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</si>
  <si>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</si>
  <si>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</si>
  <si>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</si>
  <si>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</si>
  <si>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</si>
  <si>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</si>
  <si>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</si>
  <si>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</si>
  <si>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</si>
  <si>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</si>
  <si>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</si>
  <si>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</si>
  <si>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</si>
  <si>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</si>
  <si>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</si>
  <si>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</si>
  <si>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</si>
  <si>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</si>
  <si>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</si>
  <si>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</si>
  <si>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</si>
  <si>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</si>
  <si>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</si>
  <si>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</si>
  <si>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</si>
  <si>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</si>
  <si>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</si>
  <si>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</si>
  <si>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</si>
  <si>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</si>
  <si>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</si>
  <si>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</si>
  <si>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</si>
  <si>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</si>
  <si>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</si>
  <si>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</si>
  <si>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</si>
  <si>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</si>
  <si>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</si>
  <si>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</si>
  <si>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</si>
  <si>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</si>
  <si>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</si>
  <si>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</si>
  <si>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</si>
  <si>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</si>
  <si>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</si>
  <si>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</si>
  <si>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</si>
  <si>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</si>
  <si>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</si>
  <si>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</si>
  <si>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</si>
  <si>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</si>
  <si>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</si>
  <si>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</si>
  <si>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</si>
  <si>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</si>
  <si>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</si>
  <si>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</si>
  <si>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</si>
  <si>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</si>
  <si>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</si>
  <si>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</si>
  <si>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</si>
  <si>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</si>
  <si>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</si>
  <si>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</si>
  <si>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</si>
  <si>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</si>
  <si>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</si>
  <si>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</si>
  <si>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</si>
  <si>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</si>
  <si>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</si>
  <si>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</si>
  <si>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</si>
  <si>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</si>
  <si>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</si>
  <si>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</si>
  <si>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</si>
  <si>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</si>
  <si>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</si>
  <si>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</si>
  <si>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</si>
  <si>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</si>
  <si>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</si>
  <si>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</si>
  <si>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</si>
  <si>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</si>
  <si>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</si>
  <si>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</si>
  <si>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</si>
  <si>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</si>
  <si>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</si>
  <si>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</si>
  <si>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</si>
  <si>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</si>
  <si>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</si>
  <si>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</si>
  <si>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</si>
  <si>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</si>
  <si>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</si>
  <si>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</si>
  <si>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</si>
  <si>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</si>
  <si>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</si>
  <si>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</si>
  <si>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</si>
  <si>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</si>
  <si>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</si>
  <si>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</si>
  <si>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</si>
  <si>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</si>
  <si>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</si>
  <si>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</si>
  <si>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</si>
  <si>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</si>
  <si>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</si>
  <si>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</si>
  <si>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</si>
  <si>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</si>
  <si>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</si>
  <si>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</si>
  <si>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</si>
  <si>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</si>
  <si>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</si>
  <si>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</si>
  <si>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</si>
  <si>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</si>
  <si>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</si>
  <si>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</si>
  <si>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</si>
  <si>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</si>
  <si>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</si>
  <si>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</si>
  <si>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</si>
  <si>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</si>
  <si>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</si>
  <si>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</si>
  <si>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</si>
  <si>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</si>
  <si>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</si>
  <si>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</si>
  <si>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</si>
  <si>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</si>
  <si>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</si>
  <si>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</si>
  <si>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</si>
  <si>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</si>
  <si>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</si>
  <si>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</si>
  <si>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</si>
  <si>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</si>
  <si>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</si>
  <si>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</si>
  <si>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</si>
  <si>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</si>
  <si>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</si>
  <si>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</si>
  <si>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</si>
  <si>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</si>
  <si>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</si>
  <si>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</si>
  <si>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</si>
  <si>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</si>
  <si>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</si>
  <si>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</si>
  <si>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</si>
  <si>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</si>
  <si>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</si>
  <si>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</si>
  <si>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</si>
  <si>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</si>
  <si>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</si>
  <si>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</si>
  <si>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</si>
  <si>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</si>
  <si>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</si>
  <si>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</si>
  <si>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</si>
  <si>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</si>
  <si>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</si>
  <si>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</si>
  <si>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</si>
  <si>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</si>
  <si>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</si>
  <si>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</si>
  <si>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</si>
  <si>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</si>
  <si>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</si>
  <si>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</si>
  <si>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</si>
  <si>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</si>
  <si>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</si>
  <si>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</si>
  <si>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</si>
  <si>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</si>
  <si>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</si>
  <si>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</si>
  <si>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</si>
  <si>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</si>
  <si>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</si>
  <si>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</si>
  <si>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</si>
  <si>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</si>
  <si>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</si>
  <si>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</si>
  <si>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</si>
  <si>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</si>
  <si>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</si>
  <si>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</si>
  <si>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</si>
  <si>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</si>
  <si>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</si>
  <si>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</si>
  <si>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</si>
  <si>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</si>
  <si>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</si>
  <si>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</si>
  <si>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</si>
  <si>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</si>
  <si>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</si>
  <si>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</si>
  <si>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</si>
  <si>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</si>
  <si>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</si>
  <si>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</si>
  <si>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</si>
  <si>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</si>
  <si>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</si>
  <si>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</si>
  <si>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</si>
  <si>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</si>
  <si>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</si>
  <si>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</si>
  <si>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</si>
  <si>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</si>
  <si>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</si>
  <si>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</si>
  <si>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</si>
  <si>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</si>
  <si>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</si>
  <si>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</si>
  <si>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</si>
  <si>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</si>
  <si>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</si>
  <si>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</si>
  <si>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</si>
  <si>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</si>
  <si>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</si>
  <si>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</si>
  <si>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</si>
  <si>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</si>
  <si>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</si>
  <si>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</si>
  <si>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</si>
  <si>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</si>
  <si>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</si>
  <si>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</si>
  <si>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</si>
  <si>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</si>
  <si>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</si>
  <si>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</si>
  <si>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</si>
  <si>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</si>
  <si>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</si>
  <si>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</si>
  <si>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</si>
  <si>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</si>
  <si>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</si>
  <si>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</si>
  <si>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</si>
  <si>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</si>
  <si>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</si>
  <si>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</si>
  <si>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</si>
  <si>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</si>
  <si>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</si>
  <si>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</si>
  <si>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</si>
  <si>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</si>
  <si>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</si>
  <si>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</si>
  <si>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</si>
  <si>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</si>
  <si>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</si>
  <si>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</si>
  <si>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</si>
  <si>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</si>
  <si>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</si>
  <si>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</si>
  <si>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</si>
  <si>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</si>
  <si>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</si>
  <si>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</si>
  <si>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</si>
  <si>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</si>
  <si>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</si>
  <si>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</si>
  <si>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</si>
  <si>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</si>
  <si>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</si>
  <si>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</si>
  <si>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</si>
  <si>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</si>
  <si>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</si>
  <si>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</si>
  <si>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</si>
  <si>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</si>
  <si>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</si>
  <si>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</si>
  <si>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</si>
  <si>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</si>
  <si>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</si>
  <si>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</si>
  <si>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</si>
  <si>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</si>
  <si>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</si>
  <si>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</si>
  <si>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</si>
  <si>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</si>
  <si>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</si>
  <si>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</si>
  <si>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</si>
  <si>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</si>
  <si>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</si>
  <si>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</si>
  <si>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</si>
  <si>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</si>
  <si>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</si>
  <si>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</si>
  <si>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</si>
  <si>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</si>
  <si>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</si>
  <si>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</si>
  <si>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</si>
  <si>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</si>
  <si>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</si>
  <si>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</si>
  <si>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</si>
  <si>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</si>
  <si>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</si>
  <si>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</si>
  <si>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</si>
  <si>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</si>
  <si>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</si>
  <si>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</si>
  <si>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</si>
  <si>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</si>
  <si>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</si>
  <si>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</si>
  <si>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</si>
  <si>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</si>
  <si>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</si>
  <si>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</si>
  <si>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</si>
  <si>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</si>
  <si>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</si>
  <si>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</si>
  <si>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</si>
  <si>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</si>
  <si>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</si>
  <si>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</si>
  <si>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</si>
  <si>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</si>
  <si>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</si>
  <si>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</si>
  <si>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</si>
  <si>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</si>
  <si>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</si>
  <si>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</si>
  <si>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</si>
  <si>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</si>
  <si>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</si>
  <si>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</si>
  <si>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</si>
  <si>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</si>
  <si>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</si>
  <si>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</si>
  <si>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</si>
  <si>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</si>
  <si>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</si>
  <si>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</si>
  <si>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</si>
  <si>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</si>
  <si>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</si>
  <si>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</si>
  <si>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</si>
  <si>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</si>
  <si>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</si>
  <si>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</si>
  <si>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</si>
  <si>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</si>
  <si>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</si>
  <si>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</si>
  <si>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</si>
  <si>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</si>
  <si>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</si>
  <si>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</si>
  <si>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</si>
  <si>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</si>
  <si>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</si>
  <si>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</si>
  <si>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</si>
  <si>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</si>
  <si>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</si>
  <si>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</si>
  <si>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</si>
  <si>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</si>
  <si>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</si>
  <si>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</si>
  <si>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</si>
  <si>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</si>
  <si>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</si>
  <si>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</si>
  <si>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</si>
  <si>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</si>
  <si>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</si>
  <si>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</si>
  <si>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</si>
  <si>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</si>
  <si>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</si>
  <si>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</si>
  <si>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</si>
  <si>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</si>
  <si>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</si>
  <si>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</si>
  <si>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</si>
  <si>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</si>
  <si>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</si>
  <si>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</si>
  <si>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</si>
  <si>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</si>
  <si>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</si>
  <si>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</si>
  <si>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</si>
  <si>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</si>
  <si>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</si>
  <si>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</si>
  <si>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</si>
  <si>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</si>
  <si>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</si>
  <si>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</si>
  <si>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</si>
  <si>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</si>
  <si>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</si>
  <si>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</si>
  <si>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</si>
  <si>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</si>
  <si>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</si>
  <si>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</si>
  <si>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</si>
  <si>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</si>
  <si>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</si>
  <si>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</si>
  <si>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</si>
  <si>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</si>
  <si>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</si>
  <si>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</si>
  <si>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</si>
  <si>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</si>
  <si>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</si>
  <si>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</si>
  <si>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</si>
  <si>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</si>
  <si>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</si>
  <si>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</si>
  <si>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</si>
  <si>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</si>
  <si>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</si>
  <si>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</si>
  <si>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</si>
  <si>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</si>
  <si>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</si>
  <si>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</si>
  <si>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</si>
  <si>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</si>
  <si>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</si>
  <si>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</si>
  <si>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</si>
  <si>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</si>
  <si>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</si>
  <si>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</si>
  <si>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</si>
  <si>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</si>
  <si>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</si>
  <si>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</si>
  <si>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</si>
  <si>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</si>
  <si>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</si>
  <si>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</si>
  <si>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</si>
  <si>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</si>
  <si>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</si>
  <si>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</si>
  <si>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</si>
  <si>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</si>
  <si>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</si>
  <si>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</si>
  <si>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</si>
  <si>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</si>
  <si>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</si>
  <si>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</si>
  <si>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</si>
  <si>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</si>
  <si>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</si>
  <si>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</si>
  <si>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</si>
  <si>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</si>
  <si>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</si>
  <si>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</si>
  <si>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</si>
  <si>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</si>
  <si>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</si>
  <si>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</si>
  <si>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</si>
  <si>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</si>
  <si>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</si>
  <si>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</si>
  <si>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</si>
  <si>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</si>
  <si>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</si>
  <si>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</si>
  <si>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</si>
  <si>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</si>
  <si>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</si>
  <si>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</si>
  <si>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</si>
  <si>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</si>
  <si>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</si>
  <si>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</si>
  <si>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</si>
  <si>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</si>
  <si>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</si>
  <si>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</si>
  <si>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</si>
  <si>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</si>
  <si>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</si>
  <si>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</si>
  <si>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</si>
  <si>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</si>
  <si>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</si>
  <si>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</si>
  <si>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</si>
  <si>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</si>
  <si>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</si>
  <si>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</si>
  <si>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</si>
  <si>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</si>
  <si>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</si>
  <si>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</si>
  <si>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</si>
  <si>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</si>
  <si>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</si>
  <si>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</si>
  <si>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</si>
  <si>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</si>
  <si>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</si>
  <si>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</si>
  <si>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</si>
  <si>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</si>
  <si>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</si>
  <si>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</si>
  <si>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</si>
  <si>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</si>
  <si>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</si>
  <si>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</si>
  <si>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</si>
  <si>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</si>
  <si>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</si>
  <si>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</si>
  <si>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</si>
  <si>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</si>
  <si>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</si>
  <si>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</si>
  <si>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</si>
  <si>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</si>
  <si>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</si>
  <si>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</si>
  <si>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</si>
  <si>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</si>
  <si>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</si>
  <si>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</si>
  <si>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</si>
  <si>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</si>
  <si>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</si>
  <si>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</si>
  <si>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</si>
  <si>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</si>
  <si>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</si>
  <si>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</si>
  <si>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</si>
  <si>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</si>
  <si>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</si>
  <si>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</si>
  <si>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</si>
  <si>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</si>
  <si>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</si>
  <si>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</si>
  <si>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</si>
  <si>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</si>
  <si>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</si>
  <si>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</si>
  <si>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</si>
  <si>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</si>
  <si>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</si>
  <si>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</si>
  <si>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</si>
  <si>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</si>
  <si>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</si>
  <si>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</si>
  <si>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</si>
  <si>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</si>
  <si>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</si>
  <si>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</si>
  <si>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</si>
  <si>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</si>
  <si>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</si>
  <si>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</si>
  <si>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</si>
  <si>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</si>
  <si>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</si>
  <si>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</si>
  <si>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</si>
  <si>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</si>
  <si>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</si>
  <si>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</si>
  <si>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</si>
  <si>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</si>
  <si>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</si>
  <si>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</si>
  <si>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</si>
  <si>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</si>
  <si>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</si>
  <si>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</si>
  <si>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</si>
  <si>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</si>
  <si>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</si>
  <si>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</si>
  <si>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</si>
  <si>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</si>
  <si>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</si>
  <si>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</si>
  <si>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</si>
  <si>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</si>
  <si>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</si>
  <si>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</si>
  <si>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</si>
  <si>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</si>
  <si>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</si>
  <si>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</si>
  <si>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</si>
  <si>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</si>
  <si>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</si>
  <si>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</si>
  <si>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</si>
  <si>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</si>
  <si>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</si>
  <si>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</si>
  <si>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</si>
  <si>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</si>
  <si>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</si>
  <si>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</si>
  <si>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</si>
  <si>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</si>
  <si>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</si>
  <si>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</si>
  <si>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</si>
  <si>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</si>
  <si>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</si>
  <si>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</si>
  <si>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</si>
  <si>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</si>
  <si>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</si>
  <si>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</si>
  <si>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</si>
  <si>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</si>
  <si>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</si>
  <si>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</si>
  <si>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</si>
  <si>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</si>
  <si>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</si>
  <si>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</si>
  <si>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</si>
  <si>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</si>
  <si>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</si>
  <si>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</si>
  <si>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</si>
  <si>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</si>
  <si>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</si>
  <si>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</si>
  <si>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</si>
  <si>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</si>
  <si>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</si>
  <si>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</si>
  <si>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</si>
  <si>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</si>
  <si>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</si>
  <si>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</si>
  <si>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</si>
  <si>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</si>
  <si>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</si>
  <si>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</si>
  <si>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</si>
  <si>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</si>
  <si>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</si>
  <si>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</si>
  <si>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</si>
  <si>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</si>
  <si>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</si>
  <si>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</si>
  <si>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</si>
  <si>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</si>
  <si>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</si>
  <si>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</si>
  <si>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</si>
  <si>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</si>
  <si>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</si>
  <si>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</si>
  <si>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</si>
  <si>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</si>
  <si>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</si>
  <si>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</si>
  <si>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</si>
  <si>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</si>
  <si>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</si>
  <si>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</si>
  <si>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</si>
  <si>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</si>
  <si>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</si>
  <si>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</si>
  <si>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</si>
  <si>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</si>
  <si>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</si>
  <si>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</si>
  <si>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</si>
  <si>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</si>
  <si>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</si>
  <si>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</si>
  <si>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</si>
  <si>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</si>
  <si>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</si>
  <si>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</si>
  <si>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</si>
  <si>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</si>
  <si>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</si>
  <si>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</si>
  <si>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</si>
  <si>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</si>
  <si>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</si>
  <si>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</si>
  <si>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</si>
  <si>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</si>
  <si>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</si>
  <si>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</si>
  <si>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</si>
  <si>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</si>
  <si>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</si>
  <si>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</si>
  <si>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</si>
  <si>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</si>
  <si>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</si>
  <si>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</si>
  <si>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</si>
  <si>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</si>
  <si>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</si>
  <si>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</si>
  <si>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</si>
  <si>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</si>
  <si>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</si>
  <si>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</si>
  <si>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</si>
  <si>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</si>
  <si>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</si>
  <si>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</si>
  <si>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</si>
  <si>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</si>
  <si>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</si>
  <si>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</si>
  <si>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</si>
  <si>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</si>
  <si>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</si>
  <si>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</si>
  <si>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</si>
  <si>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</si>
  <si>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</si>
  <si>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</si>
  <si>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</si>
  <si>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</si>
  <si>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</si>
  <si>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</si>
  <si>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</si>
  <si>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</si>
  <si>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</si>
  <si>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</si>
  <si>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</si>
  <si>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</si>
  <si>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</si>
  <si>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</si>
  <si>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</si>
  <si>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</si>
  <si>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</si>
  <si>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</si>
  <si>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</si>
  <si>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</si>
  <si>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</si>
  <si>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</si>
  <si>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</si>
  <si>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</si>
  <si>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</si>
  <si>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</si>
  <si>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</si>
  <si>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</si>
  <si>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</si>
  <si>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</si>
  <si>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</si>
  <si>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</si>
  <si>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</si>
  <si>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</si>
  <si>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</si>
  <si>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</si>
  <si>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</si>
  <si>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</si>
  <si>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</si>
  <si>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</si>
  <si>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</si>
  <si>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</si>
  <si>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</si>
  <si>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</si>
  <si>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</si>
  <si>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</si>
  <si>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</si>
  <si>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</si>
  <si>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</si>
  <si>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</si>
  <si>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</si>
  <si>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</si>
  <si>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</si>
  <si>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</si>
  <si>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</si>
  <si>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</si>
  <si>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</si>
  <si>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</si>
  <si>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</si>
  <si>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</si>
  <si>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</si>
  <si>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</si>
  <si>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</si>
  <si>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</si>
  <si>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</si>
  <si>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</si>
  <si>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</si>
  <si>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</si>
  <si>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</si>
  <si>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</si>
  <si>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</si>
  <si>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</si>
  <si>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</si>
  <si>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</si>
  <si>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</si>
  <si>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</si>
  <si>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</si>
  <si>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</si>
  <si>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</si>
  <si>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</si>
  <si>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</si>
  <si>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</si>
  <si>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</si>
  <si>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</si>
  <si>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</si>
  <si>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</si>
  <si>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</si>
  <si>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</si>
  <si>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</si>
  <si>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</si>
  <si>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</si>
  <si>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</si>
  <si>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</si>
  <si>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</si>
  <si>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</si>
  <si>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</si>
  <si>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</si>
  <si>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</si>
  <si>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</si>
  <si>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</si>
  <si>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</si>
  <si>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</si>
  <si>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</si>
  <si>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</si>
  <si>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</si>
  <si>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</si>
  <si>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</si>
  <si>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</si>
  <si>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</si>
  <si>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</si>
  <si>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</si>
  <si>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</si>
  <si>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</si>
  <si>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</si>
  <si>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</si>
  <si>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</si>
  <si>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</si>
  <si>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</si>
  <si>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</si>
  <si>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</si>
  <si>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</si>
  <si>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</si>
  <si>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</si>
  <si>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</si>
  <si>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</si>
  <si>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</si>
  <si>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</si>
  <si>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</si>
  <si>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</si>
  <si>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</si>
  <si>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</si>
  <si>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</si>
  <si>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</si>
  <si>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</si>
  <si>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</si>
  <si>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</si>
  <si>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</si>
  <si>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</si>
  <si>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</si>
  <si>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</si>
  <si>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</si>
  <si>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</si>
  <si>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</si>
  <si>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</si>
  <si>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</si>
  <si>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</si>
  <si>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</si>
  <si>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</si>
  <si>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</si>
  <si>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</si>
  <si>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</si>
  <si>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</si>
  <si>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</si>
  <si>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</si>
  <si>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</si>
  <si>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</si>
  <si>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</si>
  <si>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</si>
  <si>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</si>
  <si>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</si>
  <si>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</si>
  <si>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</si>
  <si>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</si>
  <si>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</si>
  <si>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</si>
  <si>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</si>
  <si>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</si>
  <si>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</si>
  <si>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</si>
  <si>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</si>
  <si>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</si>
  <si>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</si>
  <si>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</si>
  <si>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</si>
  <si>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</si>
  <si>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</si>
  <si>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</si>
  <si>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</si>
  <si>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</si>
  <si>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</si>
  <si>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</si>
  <si>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</si>
  <si>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</si>
  <si>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</si>
  <si>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</si>
  <si>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</si>
  <si>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</si>
  <si>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</si>
  <si>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</si>
  <si>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</si>
  <si>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</si>
  <si>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</si>
  <si>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</si>
  <si>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</si>
  <si>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</si>
  <si>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</si>
  <si>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</si>
  <si>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</si>
  <si>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</si>
  <si>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</si>
  <si>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</si>
  <si>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</si>
  <si>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</si>
  <si>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</si>
  <si>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</si>
  <si>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</si>
  <si>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</si>
  <si>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</si>
  <si>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</si>
  <si>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</si>
  <si>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</si>
  <si>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</si>
  <si>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</si>
  <si>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</si>
  <si>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</si>
  <si>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</si>
  <si>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</si>
  <si>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</si>
  <si>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</si>
  <si>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</si>
  <si>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</si>
  <si>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</si>
  <si>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</si>
  <si>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</si>
  <si>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</si>
  <si>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</si>
  <si>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</si>
  <si>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</si>
  <si>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</si>
  <si>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</si>
  <si>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</si>
  <si>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</si>
  <si>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</si>
  <si>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</si>
  <si>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</si>
  <si>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</si>
  <si>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</si>
  <si>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</si>
  <si>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</si>
  <si>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</si>
  <si>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</si>
  <si>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</si>
  <si>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</si>
  <si>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</si>
  <si>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</si>
  <si>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</si>
  <si>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</si>
  <si>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</si>
  <si>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</si>
  <si>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</si>
  <si>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</si>
  <si>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</si>
  <si>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</si>
  <si>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</si>
  <si>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</si>
  <si>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</si>
  <si>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</si>
  <si>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</si>
  <si>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</si>
  <si>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</si>
  <si>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</si>
  <si>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</si>
  <si>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</si>
  <si>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</si>
  <si>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</si>
  <si>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</si>
  <si>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</si>
  <si>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</si>
  <si>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</si>
  <si>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</si>
  <si>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</si>
  <si>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</si>
  <si>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</si>
  <si>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</si>
  <si>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</si>
  <si>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</si>
  <si>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</si>
  <si>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</si>
  <si>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</si>
  <si>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</si>
  <si>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</si>
  <si>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</si>
  <si>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</si>
  <si>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</si>
  <si>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</si>
  <si>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</si>
  <si>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</si>
  <si>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</si>
  <si>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</si>
  <si>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</si>
  <si>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</si>
  <si>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</si>
  <si>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</si>
  <si>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</si>
  <si>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</si>
  <si>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</si>
  <si>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</si>
  <si>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</si>
  <si>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</si>
  <si>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</si>
  <si>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</si>
  <si>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</si>
  <si>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</si>
  <si>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</si>
  <si>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</si>
  <si>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</si>
  <si>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</si>
  <si>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</si>
  <si>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</si>
  <si>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</si>
  <si>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</si>
  <si>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</si>
  <si>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</si>
  <si>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</si>
  <si>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</si>
  <si>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</si>
  <si>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</si>
  <si>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</si>
  <si>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</si>
  <si>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</si>
  <si>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</si>
  <si>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</si>
  <si>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</si>
  <si>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</si>
  <si>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</si>
  <si>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</si>
  <si>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</si>
  <si>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</si>
  <si>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</si>
  <si>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</si>
  <si>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</si>
  <si>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</si>
  <si>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</si>
  <si>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</si>
  <si>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</si>
  <si>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</si>
  <si>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</si>
  <si>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</si>
  <si>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</si>
  <si>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</si>
  <si>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</si>
  <si>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</si>
  <si>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</si>
  <si>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</si>
  <si>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</si>
  <si>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</si>
  <si>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</si>
  <si>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</si>
  <si>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</si>
  <si>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</si>
  <si>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</si>
  <si>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</si>
  <si>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</si>
  <si>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</si>
  <si>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</si>
  <si>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</si>
  <si>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</si>
  <si>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</si>
  <si>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</si>
  <si>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</si>
  <si>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</si>
  <si>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</si>
  <si>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</si>
  <si>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</si>
  <si>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</si>
  <si>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</si>
  <si>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</si>
  <si>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</si>
  <si>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</si>
  <si>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</si>
  <si>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</si>
  <si>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</si>
  <si>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</si>
  <si>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</si>
  <si>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</si>
  <si>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</si>
  <si>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</si>
  <si>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</si>
  <si>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</si>
  <si>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</si>
  <si>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</si>
  <si>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</si>
  <si>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</si>
  <si>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</si>
  <si>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</si>
  <si>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</si>
  <si>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</si>
  <si>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</si>
  <si>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</si>
  <si>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</si>
  <si>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</si>
  <si>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</si>
  <si>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</si>
  <si>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</si>
  <si>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</si>
  <si>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</si>
  <si>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</si>
  <si>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</si>
  <si>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</si>
  <si>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</si>
  <si>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</si>
  <si>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</si>
  <si>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</si>
  <si>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</si>
  <si>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</si>
  <si>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</si>
  <si>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</si>
  <si>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</si>
  <si>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</si>
  <si>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</si>
  <si>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</si>
  <si>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</si>
  <si>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</si>
  <si>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</si>
  <si>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</si>
  <si>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</si>
  <si>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</si>
  <si>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</si>
  <si>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</si>
  <si>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</si>
  <si>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</si>
  <si>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</si>
  <si>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</si>
  <si>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</si>
  <si>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</si>
  <si>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</si>
  <si>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</si>
  <si>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</si>
  <si>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</si>
  <si>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</si>
  <si>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</si>
  <si>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</si>
  <si>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</si>
  <si>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</si>
  <si>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</si>
  <si>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</si>
  <si>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</si>
  <si>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</si>
  <si>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</si>
  <si>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</si>
  <si>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</si>
  <si>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</si>
  <si>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</si>
  <si>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</si>
  <si>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</si>
  <si>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</si>
  <si>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</si>
  <si>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</si>
  <si>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</si>
  <si>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</si>
  <si>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</si>
  <si>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</si>
  <si>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</si>
  <si>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</si>
  <si>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</si>
  <si>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</si>
  <si>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</si>
  <si>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</si>
  <si>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</si>
  <si>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</si>
  <si>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</si>
  <si>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</si>
  <si>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</si>
  <si>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</si>
  <si>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</si>
  <si>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</si>
  <si>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</si>
  <si>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</si>
  <si>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</si>
  <si>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</si>
  <si>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</si>
  <si>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</si>
  <si>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</si>
  <si>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</si>
  <si>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</si>
  <si>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</si>
  <si>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</si>
  <si>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</si>
  <si>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</si>
  <si>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</si>
  <si>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</si>
  <si>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</si>
  <si>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</si>
  <si>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</si>
  <si>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</si>
  <si>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</si>
  <si>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</si>
  <si>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</si>
  <si>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</si>
  <si>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</si>
  <si>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</si>
  <si>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</si>
  <si>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</si>
  <si>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</si>
  <si>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</si>
  <si>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</si>
  <si>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</si>
  <si>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</si>
  <si>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</si>
  <si>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</si>
  <si>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</si>
  <si>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</si>
  <si>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</si>
  <si>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</si>
  <si>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</si>
  <si>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</si>
  <si>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</si>
  <si>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</si>
  <si>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</si>
  <si>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</si>
  <si>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</si>
  <si>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</si>
  <si>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</si>
  <si>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</si>
  <si>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</si>
  <si>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</si>
  <si>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</si>
  <si>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</si>
  <si>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</si>
  <si>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</si>
  <si>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</si>
  <si>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</si>
  <si>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</si>
  <si>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</si>
  <si>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</si>
  <si>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</si>
  <si>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</si>
  <si>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</si>
  <si>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</si>
  <si>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</si>
  <si>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</si>
  <si>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</si>
  <si>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</si>
  <si>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</si>
  <si>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</si>
  <si>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</si>
  <si>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</si>
  <si>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</si>
  <si>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</si>
  <si>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</si>
  <si>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Alton School District</t>
  </si>
  <si>
    <t>0</t>
  </si>
  <si>
    <t>On Tab Salaries-Benefits there was an issue with the formula, it didn't come over correctly for the benefits.</t>
  </si>
  <si>
    <t>School Level Expenditures, the High School was not populated I needed Prospect Mountain High School SAU#301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</si>
</sst>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62"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15</v>
      </c>
      <c r="C2" s="21">
        <v>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647665.63+100</f>
        <v>647765.63</v>
      </c>
      <c r="G9" s="18">
        <v>112</v>
      </c>
      <c r="H9" s="18">
        <v>0</v>
      </c>
      <c r="I9" s="18">
        <v>0</v>
      </c>
      <c r="J9" s="67">
        <f>SUM(I440)</f>
        <v>0</v>
      </c>
      <c r="K9" s="24" t="s">
        <v>288</v>
      </c>
      <c r="L9" s="24" t="s">
        <v>288</v>
      </c>
      <c r="M9" s="8"/>
      <c r="N9" s="266"/>
    </row>
    <row r="10" spans="1:14" s="3" customFormat="1" ht="12.2" customHeight="1" x14ac:dyDescent="0.15">
      <c r="A10" s="1" t="s">
        <v>562</v>
      </c>
      <c r="B10" s="2" t="s">
        <v>289</v>
      </c>
      <c r="C10" s="6">
        <v>2</v>
      </c>
      <c r="D10" s="2" t="s">
        <v>428</v>
      </c>
      <c r="E10" s="6">
        <v>110</v>
      </c>
      <c r="F10" s="18">
        <v>0</v>
      </c>
      <c r="G10" s="18">
        <f>147063.42+45856.17</f>
        <v>192919.59000000003</v>
      </c>
      <c r="H10" s="18">
        <v>0</v>
      </c>
      <c r="I10" s="18">
        <v>0</v>
      </c>
      <c r="J10" s="67">
        <f>SUM(I441)</f>
        <v>1175875.75</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0</v>
      </c>
      <c r="G12" s="18">
        <v>0</v>
      </c>
      <c r="H12" s="18">
        <v>0</v>
      </c>
      <c r="I12" s="18">
        <v>0</v>
      </c>
      <c r="J12" s="67">
        <f>SUM(I442)</f>
        <v>0</v>
      </c>
      <c r="K12" s="24" t="s">
        <v>288</v>
      </c>
      <c r="L12" s="24" t="s">
        <v>288</v>
      </c>
      <c r="M12" s="8"/>
      <c r="N12" s="266"/>
    </row>
    <row r="13" spans="1:14" s="3" customFormat="1" ht="12.2" customHeight="1" x14ac:dyDescent="0.15">
      <c r="A13" s="1" t="s">
        <v>604</v>
      </c>
      <c r="B13" s="2" t="s">
        <v>289</v>
      </c>
      <c r="C13" s="6">
        <v>5</v>
      </c>
      <c r="D13" s="2" t="s">
        <v>428</v>
      </c>
      <c r="E13" s="6">
        <v>140</v>
      </c>
      <c r="F13" s="18">
        <v>-3369.24</v>
      </c>
      <c r="G13" s="18">
        <v>10278</v>
      </c>
      <c r="H13" s="18">
        <v>42737.2</v>
      </c>
      <c r="I13" s="18">
        <v>0</v>
      </c>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14867.16</v>
      </c>
      <c r="G14" s="18">
        <v>0</v>
      </c>
      <c r="H14" s="18">
        <v>0</v>
      </c>
      <c r="I14" s="18">
        <v>0</v>
      </c>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659263.55000000005</v>
      </c>
      <c r="G19" s="41">
        <f>SUM(G9:G18)</f>
        <v>203309.59000000003</v>
      </c>
      <c r="H19" s="41">
        <f>SUM(H9:H18)</f>
        <v>42737.2</v>
      </c>
      <c r="I19" s="41">
        <f>SUM(I9:I18)</f>
        <v>0</v>
      </c>
      <c r="J19" s="41">
        <f>SUM(J9:J18)</f>
        <v>1175875.75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0</v>
      </c>
      <c r="H22" s="18">
        <v>0</v>
      </c>
      <c r="I22" s="18">
        <v>0</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0</v>
      </c>
      <c r="G23" s="18">
        <f>203309.59-2505.68</f>
        <v>200803.91</v>
      </c>
      <c r="H23" s="18">
        <f>42737.2-10836.18+6215.37</f>
        <v>38116.39</v>
      </c>
      <c r="I23" s="18">
        <v>0</v>
      </c>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522777.59999999998</v>
      </c>
      <c r="G24" s="18">
        <v>4428.66</v>
      </c>
      <c r="H24" s="18">
        <v>3995.74</v>
      </c>
      <c r="I24" s="18">
        <v>0</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f>27280.74-0.8+3354.09-388115.82-3354.09</f>
        <v>-360835.88</v>
      </c>
      <c r="G28" s="18">
        <f>-366.6-1556.38</f>
        <v>-1922.98</v>
      </c>
      <c r="H28" s="18">
        <v>0.06</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f>622.79+12792.36+173171.56</f>
        <v>186586.71</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0</v>
      </c>
      <c r="H30" s="18">
        <v>625.01</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348528.42999999993</v>
      </c>
      <c r="G32" s="41">
        <f>SUM(G22:G31)</f>
        <v>203309.59</v>
      </c>
      <c r="H32" s="41">
        <f>SUM(H22:H31)</f>
        <v>42737.2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6"/>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6"/>
    </row>
    <row r="44" spans="1:14" s="3" customFormat="1" ht="12.2" customHeight="1" x14ac:dyDescent="0.15">
      <c r="A44" s="1" t="s">
        <v>837</v>
      </c>
      <c r="B44" s="6">
        <v>1</v>
      </c>
      <c r="C44" s="6">
        <v>30</v>
      </c>
      <c r="D44" s="2" t="s">
        <v>653</v>
      </c>
      <c r="E44" s="6">
        <v>755</v>
      </c>
      <c r="F44" s="18">
        <v>200000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0</v>
      </c>
      <c r="H48" s="18">
        <v>0</v>
      </c>
      <c r="I48" s="18">
        <v>0</v>
      </c>
      <c r="J48" s="13">
        <f>SUM(I460)</f>
        <v>1175875.75</v>
      </c>
      <c r="K48" s="24" t="s">
        <v>288</v>
      </c>
      <c r="L48" s="24" t="s">
        <v>288</v>
      </c>
      <c r="M48" s="8"/>
      <c r="N48" s="266"/>
    </row>
    <row r="49" spans="1:14" s="3" customFormat="1" ht="12.2" customHeight="1" x14ac:dyDescent="0.15">
      <c r="A49" s="1" t="s">
        <v>859</v>
      </c>
      <c r="B49" s="2" t="s">
        <v>289</v>
      </c>
      <c r="C49" s="6">
        <v>34</v>
      </c>
      <c r="D49" s="2"/>
      <c r="E49" s="6">
        <v>753</v>
      </c>
      <c r="F49" s="18">
        <v>35500</v>
      </c>
      <c r="G49" s="18">
        <v>0</v>
      </c>
      <c r="H49" s="18">
        <v>0</v>
      </c>
      <c r="I49" s="18">
        <v>0</v>
      </c>
      <c r="J49" s="13">
        <f>I455</f>
        <v>0</v>
      </c>
      <c r="K49" s="24"/>
      <c r="L49" s="24"/>
      <c r="M49" s="8"/>
      <c r="N49" s="266"/>
    </row>
    <row r="50" spans="1:14" s="3" customFormat="1" ht="12.2" customHeight="1" thickBot="1" x14ac:dyDescent="0.2">
      <c r="A50" s="29" t="s">
        <v>840</v>
      </c>
      <c r="B50" s="2" t="s">
        <v>289</v>
      </c>
      <c r="C50" s="71">
        <v>35</v>
      </c>
      <c r="D50" s="2" t="s">
        <v>653</v>
      </c>
      <c r="E50" s="6">
        <v>770</v>
      </c>
      <c r="F50" s="18">
        <f>275235.12-200000</f>
        <v>75235.12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310735.12</v>
      </c>
      <c r="G51" s="41">
        <f>SUM(G35:G50)</f>
        <v>0</v>
      </c>
      <c r="H51" s="41">
        <f>SUM(H35:H50)</f>
        <v>0</v>
      </c>
      <c r="I51" s="41">
        <f>SUM(I35:I50)</f>
        <v>0</v>
      </c>
      <c r="J51" s="41">
        <f>SUM(J35:J50)</f>
        <v>1175875.75</v>
      </c>
      <c r="K51" s="45" t="s">
        <v>288</v>
      </c>
      <c r="L51" s="45" t="s">
        <v>288</v>
      </c>
      <c r="N51" s="264"/>
    </row>
    <row r="52" spans="1:14" s="3" customFormat="1" ht="12.2" customHeight="1" thickTop="1" x14ac:dyDescent="0.15">
      <c r="A52" s="38" t="s">
        <v>455</v>
      </c>
      <c r="B52" s="39" t="s">
        <v>289</v>
      </c>
      <c r="C52" s="6">
        <v>37</v>
      </c>
      <c r="D52" s="39" t="s">
        <v>653</v>
      </c>
      <c r="E52" s="39"/>
      <c r="F52" s="41">
        <f>F51+F32</f>
        <v>659263.54999999993</v>
      </c>
      <c r="G52" s="41">
        <f>G51+G32</f>
        <v>203309.59</v>
      </c>
      <c r="H52" s="41">
        <f>H51+H32</f>
        <v>42737.2</v>
      </c>
      <c r="I52" s="41">
        <f>I51+I32</f>
        <v>0</v>
      </c>
      <c r="J52" s="41">
        <f>J51+J32</f>
        <v>1175875.75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10412178</v>
      </c>
      <c r="G57" s="18">
        <v>0</v>
      </c>
      <c r="H57" s="18">
        <v>0</v>
      </c>
      <c r="I57" s="18">
        <v>0</v>
      </c>
      <c r="J57" s="18">
        <v>0</v>
      </c>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10412178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629.6</v>
      </c>
      <c r="G96" s="18">
        <v>658.63</v>
      </c>
      <c r="H96" s="18">
        <v>0</v>
      </c>
      <c r="I96" s="18">
        <v>0</v>
      </c>
      <c r="J96" s="18">
        <v>11603.93</v>
      </c>
      <c r="K96" s="24" t="s">
        <v>288</v>
      </c>
      <c r="L96" s="24" t="s">
        <v>288</v>
      </c>
      <c r="M96" s="8"/>
      <c r="N96" s="266"/>
    </row>
    <row r="97" spans="1:14" s="3" customFormat="1" ht="12.2" customHeight="1" x14ac:dyDescent="0.15">
      <c r="A97" s="1" t="s">
        <v>503</v>
      </c>
      <c r="B97" s="2" t="s">
        <v>315</v>
      </c>
      <c r="C97" s="6">
        <v>12</v>
      </c>
      <c r="D97" s="2" t="s">
        <v>430</v>
      </c>
      <c r="E97" s="6">
        <v>1600</v>
      </c>
      <c r="F97" s="24" t="s">
        <v>288</v>
      </c>
      <c r="G97" s="18">
        <f>44971.1+782</f>
        <v>45753.1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192963</v>
      </c>
      <c r="G109" s="18">
        <v>0</v>
      </c>
      <c r="H109" s="18">
        <v>0</v>
      </c>
      <c r="I109" s="18">
        <v>0</v>
      </c>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29812.54+4068.72</f>
        <v>33881.26</v>
      </c>
      <c r="G110" s="18">
        <v>0</v>
      </c>
      <c r="H110" s="18">
        <v>0</v>
      </c>
      <c r="I110" s="18">
        <v>0</v>
      </c>
      <c r="J110" s="18">
        <v>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227473.86000000002</v>
      </c>
      <c r="G111" s="41">
        <f>SUM(G96:G110)</f>
        <v>46411.729999999996</v>
      </c>
      <c r="H111" s="41">
        <f>SUM(H96:H110)</f>
        <v>0</v>
      </c>
      <c r="I111" s="41">
        <f>SUM(I96:I110)</f>
        <v>0</v>
      </c>
      <c r="J111" s="41">
        <f>SUM(J96:J110)</f>
        <v>11603.93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10639651.859999999</v>
      </c>
      <c r="G112" s="41">
        <f>G60+G111</f>
        <v>46411.729999999996</v>
      </c>
      <c r="H112" s="41">
        <f>H60+H79+H94+H111</f>
        <v>0</v>
      </c>
      <c r="I112" s="41">
        <f>I60+I111</f>
        <v>0</v>
      </c>
      <c r="J112" s="41">
        <f>J60+J111</f>
        <v>11603.93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3599626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3599626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6"/>
    </row>
    <row r="125" spans="1:14" s="3" customFormat="1" ht="12.2" customHeight="1" x14ac:dyDescent="0.15">
      <c r="A125" s="1" t="s">
        <v>906</v>
      </c>
      <c r="B125" s="2" t="s">
        <v>321</v>
      </c>
      <c r="C125" s="6">
        <v>8</v>
      </c>
      <c r="D125" s="2" t="s">
        <v>430</v>
      </c>
      <c r="E125" s="6">
        <v>3220</v>
      </c>
      <c r="F125" s="18">
        <v>8388</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57720.72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v>0</v>
      </c>
      <c r="G130" s="24" t="s">
        <v>288</v>
      </c>
      <c r="H130" s="18">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394.59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66108.72</v>
      </c>
      <c r="G136" s="41">
        <f>SUM(G123:G135)</f>
        <v>394.59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3665734.72</v>
      </c>
      <c r="G140" s="41">
        <f>G121+SUM(G136:G137)</f>
        <v>394.59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62750.16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12076.39+18165.91+36320.16</f>
        <v>66562.460000000006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12088.77+29773.29+13781.05</f>
        <v>55643.11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f>2575+27847.11+2572+28866.65+3002.15+67137.02</f>
        <v>131999.93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2242.41</v>
      </c>
      <c r="G160" s="24" t="s">
        <v>288</v>
      </c>
      <c r="H160" s="18">
        <v>0</v>
      </c>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56366.91</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2242.41</v>
      </c>
      <c r="G163" s="41">
        <f>SUM(G150:G162)</f>
        <v>55643.11</v>
      </c>
      <c r="H163" s="41">
        <f>SUM(H150:H162)</f>
        <v>317679.45999999996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2242.41</v>
      </c>
      <c r="G170" s="41">
        <f>G147+G163+SUM(G164:G169)</f>
        <v>55643.11</v>
      </c>
      <c r="H170" s="41">
        <f>H147+H163+SUM(H164:H169)</f>
        <v>317679.45999999996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86336.34</v>
      </c>
      <c r="H180" s="18">
        <v>0</v>
      </c>
      <c r="I180" s="18">
        <v>0</v>
      </c>
      <c r="J180" s="18">
        <v>100000</v>
      </c>
      <c r="K180" s="24" t="s">
        <v>288</v>
      </c>
      <c r="L180" s="24" t="s">
        <v>288</v>
      </c>
      <c r="M180" s="8"/>
      <c r="N180" s="266"/>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6"/>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6"/>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86336.34</v>
      </c>
      <c r="H184" s="41">
        <f>SUM(H180:H183)</f>
        <v>0</v>
      </c>
      <c r="I184" s="41">
        <f>SUM(I180:I183)</f>
        <v>0</v>
      </c>
      <c r="J184" s="41">
        <f>SUM(J180:J183)</f>
        <v>100000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v>0</v>
      </c>
      <c r="H186" s="18">
        <v>0</v>
      </c>
      <c r="I186" s="18">
        <v>0</v>
      </c>
      <c r="J186" s="24" t="s">
        <v>288</v>
      </c>
      <c r="K186" s="24" t="s">
        <v>288</v>
      </c>
      <c r="L186" s="24" t="s">
        <v>288</v>
      </c>
      <c r="M186" s="8"/>
      <c r="N186" s="266"/>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4"/>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86336.34</v>
      </c>
      <c r="H193" s="41">
        <f>+H184+SUM(H189:H192)</f>
        <v>0</v>
      </c>
      <c r="I193" s="41">
        <f>I178+I184+SUM(I189:I192)</f>
        <v>0</v>
      </c>
      <c r="J193" s="41">
        <f>J184</f>
        <v>100000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14307628.99</v>
      </c>
      <c r="G194" s="47">
        <f>G112+G140+G170+G193</f>
        <v>188785.77</v>
      </c>
      <c r="H194" s="47">
        <f>H112+H140+H170+H193</f>
        <v>317679.45999999996</v>
      </c>
      <c r="I194" s="47">
        <f>I112+I140+I170+I193</f>
        <v>0</v>
      </c>
      <c r="J194" s="47">
        <f>J112+J140+J193</f>
        <v>111603.93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2412349.85</v>
      </c>
      <c r="G198" s="18">
        <v>1283803.6200000001</v>
      </c>
      <c r="H198" s="18">
        <v>86541.2</v>
      </c>
      <c r="I198" s="18">
        <v>275241.77</v>
      </c>
      <c r="J198" s="18">
        <v>93485.09</v>
      </c>
      <c r="K198" s="18">
        <v>2649</v>
      </c>
      <c r="L198" s="19">
        <f>SUM(F198:K198)</f>
        <v>4154070.5300000003</v>
      </c>
      <c r="M198" s="8"/>
      <c r="N198" s="266"/>
    </row>
    <row r="199" spans="1:14" s="3" customFormat="1" ht="12.2" customHeight="1" x14ac:dyDescent="0.15">
      <c r="A199" s="1" t="s">
        <v>439</v>
      </c>
      <c r="B199" s="2" t="s">
        <v>341</v>
      </c>
      <c r="C199" s="2" t="s">
        <v>291</v>
      </c>
      <c r="D199" s="2" t="s">
        <v>431</v>
      </c>
      <c r="E199" s="6">
        <v>1200</v>
      </c>
      <c r="F199" s="18">
        <v>999655.27</v>
      </c>
      <c r="G199" s="18">
        <v>628153.15</v>
      </c>
      <c r="H199" s="18">
        <v>282600.40999999997</v>
      </c>
      <c r="I199" s="18">
        <v>9553.4699999999993</v>
      </c>
      <c r="J199" s="18">
        <v>11280.02</v>
      </c>
      <c r="K199" s="18">
        <v>6456.82</v>
      </c>
      <c r="L199" s="19">
        <f>SUM(F199:K199)</f>
        <v>1937699.14</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30168.23</v>
      </c>
      <c r="G201" s="18">
        <v>6285.3</v>
      </c>
      <c r="H201" s="18">
        <v>11672.75</v>
      </c>
      <c r="I201" s="18">
        <v>15847.65</v>
      </c>
      <c r="J201" s="18">
        <v>0</v>
      </c>
      <c r="K201" s="18">
        <v>2020</v>
      </c>
      <c r="L201" s="19">
        <f>SUM(F201:K201)</f>
        <v>65993.929999999993</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292017.51</v>
      </c>
      <c r="G203" s="18">
        <v>174481.14</v>
      </c>
      <c r="H203" s="18">
        <v>5460.09</v>
      </c>
      <c r="I203" s="18">
        <v>4721.76</v>
      </c>
      <c r="J203" s="18">
        <v>294.33999999999997</v>
      </c>
      <c r="K203" s="18">
        <v>45</v>
      </c>
      <c r="L203" s="19">
        <f t="shared" ref="L203:L209" si="0">SUM(F203:K203)</f>
        <v>477019.84000000008</v>
      </c>
      <c r="M203" s="8"/>
      <c r="N203" s="266"/>
    </row>
    <row r="204" spans="1:14" s="3" customFormat="1" ht="12.2" customHeight="1" x14ac:dyDescent="0.15">
      <c r="A204" s="1" t="s">
        <v>443</v>
      </c>
      <c r="B204" s="2" t="s">
        <v>341</v>
      </c>
      <c r="C204" s="2" t="s">
        <v>295</v>
      </c>
      <c r="D204" s="2" t="s">
        <v>431</v>
      </c>
      <c r="E204" s="6">
        <v>2200</v>
      </c>
      <c r="F204" s="18">
        <v>80191.89</v>
      </c>
      <c r="G204" s="18">
        <v>55358.400000000001</v>
      </c>
      <c r="H204" s="18">
        <v>4696.5</v>
      </c>
      <c r="I204" s="18">
        <v>12955.35</v>
      </c>
      <c r="J204" s="18">
        <v>0</v>
      </c>
      <c r="K204" s="18">
        <v>825</v>
      </c>
      <c r="L204" s="19">
        <f t="shared" si="0"/>
        <v>154027.14000000001</v>
      </c>
      <c r="M204" s="8"/>
      <c r="N204" s="266"/>
    </row>
    <row r="205" spans="1:14" s="3" customFormat="1" ht="12.2" customHeight="1" x14ac:dyDescent="0.15">
      <c r="A205" s="1" t="s">
        <v>444</v>
      </c>
      <c r="B205" s="2" t="s">
        <v>341</v>
      </c>
      <c r="C205" s="2" t="s">
        <v>296</v>
      </c>
      <c r="D205" s="2" t="s">
        <v>431</v>
      </c>
      <c r="E205" s="6">
        <v>2300</v>
      </c>
      <c r="F205" s="18">
        <v>167952.23</v>
      </c>
      <c r="G205" s="18">
        <v>53479.61</v>
      </c>
      <c r="H205" s="18">
        <v>85695.679999999993</v>
      </c>
      <c r="I205" s="18">
        <v>24460</v>
      </c>
      <c r="J205" s="18">
        <v>2029.89</v>
      </c>
      <c r="K205" s="18">
        <v>6093.27</v>
      </c>
      <c r="L205" s="19">
        <f t="shared" si="0"/>
        <v>339710.68000000005</v>
      </c>
      <c r="M205" s="8"/>
      <c r="N205" s="266"/>
    </row>
    <row r="206" spans="1:14" s="3" customFormat="1" ht="12.2" customHeight="1" x14ac:dyDescent="0.15">
      <c r="A206" s="1" t="s">
        <v>445</v>
      </c>
      <c r="B206" s="2" t="s">
        <v>341</v>
      </c>
      <c r="C206" s="2" t="s">
        <v>297</v>
      </c>
      <c r="D206" s="2" t="s">
        <v>431</v>
      </c>
      <c r="E206" s="6">
        <v>2400</v>
      </c>
      <c r="F206" s="18">
        <v>249539.1</v>
      </c>
      <c r="G206" s="18">
        <v>154762.09</v>
      </c>
      <c r="H206" s="18">
        <v>6675.22</v>
      </c>
      <c r="I206" s="18">
        <v>2576.71</v>
      </c>
      <c r="J206" s="18">
        <v>2834.53</v>
      </c>
      <c r="K206" s="18">
        <v>1155</v>
      </c>
      <c r="L206" s="19">
        <f t="shared" si="0"/>
        <v>417542.65</v>
      </c>
      <c r="M206" s="8"/>
      <c r="N206" s="266"/>
    </row>
    <row r="207" spans="1:14" s="3" customFormat="1" ht="12.2" customHeight="1" x14ac:dyDescent="0.15">
      <c r="A207" s="1" t="s">
        <v>446</v>
      </c>
      <c r="B207" s="2" t="s">
        <v>341</v>
      </c>
      <c r="C207" s="2" t="s">
        <v>298</v>
      </c>
      <c r="D207" s="2" t="s">
        <v>431</v>
      </c>
      <c r="E207" s="6">
        <v>2500</v>
      </c>
      <c r="F207" s="18">
        <v>50441.440000000002</v>
      </c>
      <c r="G207" s="18">
        <v>23827.4</v>
      </c>
      <c r="H207" s="18">
        <v>2030.39</v>
      </c>
      <c r="I207" s="18">
        <v>12608.2</v>
      </c>
      <c r="J207" s="18">
        <v>628.99</v>
      </c>
      <c r="K207" s="18">
        <v>402.48</v>
      </c>
      <c r="L207" s="19">
        <f t="shared" si="0"/>
        <v>89938.9</v>
      </c>
      <c r="M207" s="8"/>
      <c r="N207" s="266"/>
    </row>
    <row r="208" spans="1:14" s="3" customFormat="1" ht="12.2" customHeight="1" x14ac:dyDescent="0.15">
      <c r="A208" s="1" t="s">
        <v>447</v>
      </c>
      <c r="B208" s="2" t="s">
        <v>341</v>
      </c>
      <c r="C208" s="2" t="s">
        <v>299</v>
      </c>
      <c r="D208" s="2" t="s">
        <v>431</v>
      </c>
      <c r="E208" s="6">
        <v>2600</v>
      </c>
      <c r="F208" s="18">
        <v>236254.95</v>
      </c>
      <c r="G208" s="18">
        <v>163231.25</v>
      </c>
      <c r="H208" s="18">
        <v>517693.65</v>
      </c>
      <c r="I208" s="18">
        <v>217202.18</v>
      </c>
      <c r="J208" s="18">
        <v>49515.85</v>
      </c>
      <c r="K208" s="18">
        <v>100</v>
      </c>
      <c r="L208" s="19">
        <f t="shared" si="0"/>
        <v>1183997.8800000001</v>
      </c>
      <c r="M208" s="8"/>
      <c r="N208" s="266"/>
    </row>
    <row r="209" spans="1:14" s="3" customFormat="1" ht="12.2" customHeight="1" x14ac:dyDescent="0.15">
      <c r="A209" s="1" t="s">
        <v>448</v>
      </c>
      <c r="B209" s="2" t="s">
        <v>341</v>
      </c>
      <c r="C209" s="2" t="s">
        <v>300</v>
      </c>
      <c r="D209" s="2" t="s">
        <v>431</v>
      </c>
      <c r="E209" s="6">
        <v>2700</v>
      </c>
      <c r="F209" s="18">
        <v>0</v>
      </c>
      <c r="G209" s="18">
        <v>0</v>
      </c>
      <c r="H209" s="18">
        <v>398213.22</v>
      </c>
      <c r="I209" s="18">
        <v>0</v>
      </c>
      <c r="J209" s="18">
        <v>0</v>
      </c>
      <c r="K209" s="18">
        <v>0</v>
      </c>
      <c r="L209" s="19">
        <f t="shared" si="0"/>
        <v>398213.22</v>
      </c>
      <c r="M209" s="8"/>
      <c r="N209" s="266"/>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4518570.4700000007</v>
      </c>
      <c r="G212" s="41">
        <f t="shared" si="1"/>
        <v>2543381.9599999995</v>
      </c>
      <c r="H212" s="41">
        <f t="shared" si="1"/>
        <v>1401279.1099999999</v>
      </c>
      <c r="I212" s="41">
        <f t="shared" si="1"/>
        <v>575167.09000000008</v>
      </c>
      <c r="J212" s="41">
        <f t="shared" si="1"/>
        <v>160068.71</v>
      </c>
      <c r="K212" s="41">
        <f t="shared" si="1"/>
        <v>19746.57</v>
      </c>
      <c r="L212" s="41">
        <f t="shared" si="1"/>
        <v>9218213.9100000001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9">
        <f>SUM(F216:K216)</f>
        <v>0</v>
      </c>
      <c r="M216" s="8"/>
      <c r="N216" s="266"/>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9">
        <f>SUM(F217:K217)</f>
        <v>0</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6"/>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6"/>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6"/>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6"/>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6"/>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6"/>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9">
        <f t="shared" si="2"/>
        <v>0</v>
      </c>
      <c r="M227" s="8"/>
      <c r="N227" s="266"/>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0</v>
      </c>
      <c r="G234" s="18">
        <v>0</v>
      </c>
      <c r="H234" s="18">
        <v>4271831.45</v>
      </c>
      <c r="I234" s="18">
        <v>0</v>
      </c>
      <c r="J234" s="18">
        <v>0</v>
      </c>
      <c r="K234" s="18">
        <v>0</v>
      </c>
      <c r="L234" s="19">
        <f>SUM(G234:K234)</f>
        <v>4271831.45</v>
      </c>
      <c r="M234" s="8"/>
      <c r="N234" s="266"/>
    </row>
    <row r="235" spans="1:14" s="3" customFormat="1" ht="12.2" customHeight="1" x14ac:dyDescent="0.15">
      <c r="A235" s="1" t="s">
        <v>439</v>
      </c>
      <c r="B235" s="2" t="s">
        <v>350</v>
      </c>
      <c r="C235" s="2" t="s">
        <v>291</v>
      </c>
      <c r="D235" s="2" t="s">
        <v>431</v>
      </c>
      <c r="E235" s="6">
        <v>1200</v>
      </c>
      <c r="F235" s="18">
        <v>0</v>
      </c>
      <c r="G235" s="18">
        <v>0</v>
      </c>
      <c r="H235" s="18">
        <v>410943.72</v>
      </c>
      <c r="I235" s="18">
        <v>672.99</v>
      </c>
      <c r="J235" s="18">
        <v>0</v>
      </c>
      <c r="K235" s="18">
        <v>0</v>
      </c>
      <c r="L235" s="19">
        <f>SUM(G235:K235)</f>
        <v>411616.70999999996</v>
      </c>
      <c r="M235" s="8"/>
      <c r="N235" s="266"/>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SUM(G236:K236)</f>
        <v>0</v>
      </c>
      <c r="M236" s="8"/>
      <c r="N236" s="266"/>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SUM(G237:K237)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6"/>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6"/>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6"/>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6"/>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6"/>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6"/>
    </row>
    <row r="245" spans="1:14" s="3" customFormat="1" ht="12.2" customHeight="1" x14ac:dyDescent="0.15">
      <c r="A245" s="1" t="s">
        <v>448</v>
      </c>
      <c r="B245" s="2" t="s">
        <v>350</v>
      </c>
      <c r="C245" s="2" t="s">
        <v>300</v>
      </c>
      <c r="D245" s="2" t="s">
        <v>431</v>
      </c>
      <c r="E245" s="6">
        <v>2700</v>
      </c>
      <c r="F245" s="18">
        <v>0</v>
      </c>
      <c r="G245" s="18">
        <v>0</v>
      </c>
      <c r="H245" s="18">
        <v>191485.84</v>
      </c>
      <c r="I245" s="18">
        <v>0</v>
      </c>
      <c r="J245" s="18">
        <v>0</v>
      </c>
      <c r="K245" s="18">
        <v>0</v>
      </c>
      <c r="L245" s="19">
        <f t="shared" si="4"/>
        <v>191485.84</v>
      </c>
      <c r="M245" s="8"/>
      <c r="N245" s="266"/>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SUM(G234:G247)</f>
        <v>0</v>
      </c>
      <c r="H248" s="41">
        <f t="shared" si="5"/>
        <v>4874261.01</v>
      </c>
      <c r="I248" s="41">
        <f t="shared" si="5"/>
        <v>672.99</v>
      </c>
      <c r="J248" s="41">
        <f t="shared" si="5"/>
        <v>0</v>
      </c>
      <c r="K248" s="41">
        <f t="shared" si="5"/>
        <v>0</v>
      </c>
      <c r="L248" s="41">
        <f t="shared" si="5"/>
        <v>4874934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6"/>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6"/>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6"/>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6"/>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6"/>
    </row>
    <row r="256" spans="1:14" s="3" customFormat="1" ht="12.2" customHeight="1" thickBot="1" x14ac:dyDescent="0.2">
      <c r="A256" s="1" t="s">
        <v>584</v>
      </c>
      <c r="B256" s="2" t="s">
        <v>352</v>
      </c>
      <c r="C256" s="6">
        <v>6</v>
      </c>
      <c r="D256" s="2" t="s">
        <v>431</v>
      </c>
      <c r="E256" s="6">
        <v>4000</v>
      </c>
      <c r="F256" s="18">
        <v>0</v>
      </c>
      <c r="G256" s="18">
        <v>0</v>
      </c>
      <c r="H256" s="18">
        <v>7424</v>
      </c>
      <c r="I256" s="18">
        <v>0</v>
      </c>
      <c r="J256" s="18">
        <v>0</v>
      </c>
      <c r="K256" s="18">
        <v>0</v>
      </c>
      <c r="L256" s="19">
        <f t="shared" si="6"/>
        <v>7424</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7424</v>
      </c>
      <c r="I257" s="41">
        <f t="shared" si="7"/>
        <v>0</v>
      </c>
      <c r="J257" s="41">
        <f t="shared" si="7"/>
        <v>0</v>
      </c>
      <c r="K257" s="41">
        <f t="shared" si="7"/>
        <v>0</v>
      </c>
      <c r="L257" s="41">
        <f>SUM(F257:K257)</f>
        <v>7424</v>
      </c>
      <c r="M257" s="8"/>
      <c r="N257" s="266"/>
    </row>
    <row r="258" spans="1:14" s="3" customFormat="1" ht="12.2" customHeight="1" thickTop="1" x14ac:dyDescent="0.15">
      <c r="A258" s="38" t="s">
        <v>462</v>
      </c>
      <c r="B258" s="40">
        <v>10</v>
      </c>
      <c r="C258" s="40">
        <v>8</v>
      </c>
      <c r="D258" s="39" t="s">
        <v>431</v>
      </c>
      <c r="E258" s="40"/>
      <c r="F258" s="41">
        <f t="shared" ref="F258:L258" si="8">F212+F230+F248+F257</f>
        <v>4518570.4700000007</v>
      </c>
      <c r="G258" s="41">
        <f t="shared" si="8"/>
        <v>2543381.9599999995</v>
      </c>
      <c r="H258" s="41">
        <f t="shared" si="8"/>
        <v>6282964.1199999992</v>
      </c>
      <c r="I258" s="41">
        <f t="shared" si="8"/>
        <v>575840.08000000007</v>
      </c>
      <c r="J258" s="41">
        <f t="shared" si="8"/>
        <v>160068.71</v>
      </c>
      <c r="K258" s="41">
        <f t="shared" si="8"/>
        <v>19746.57</v>
      </c>
      <c r="L258" s="41">
        <f t="shared" si="8"/>
        <v>14100571.91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705000</v>
      </c>
      <c r="L261" s="19">
        <f>SUM(F261:K261)</f>
        <v>705000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17977.5</v>
      </c>
      <c r="L262" s="19">
        <f>SUM(F262:K262)</f>
        <v>17977.5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86336.34</v>
      </c>
      <c r="L264" s="19">
        <f>SUM(F264:K264)</f>
        <v>86336.34</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909313.84</v>
      </c>
      <c r="L271" s="41">
        <f t="shared" si="9"/>
        <v>909313.84</v>
      </c>
      <c r="M271" s="8"/>
      <c r="N271" s="266"/>
    </row>
    <row r="272" spans="1:14" s="34" customFormat="1" ht="12.2" customHeight="1" thickTop="1" x14ac:dyDescent="0.2">
      <c r="A272" s="43" t="s">
        <v>464</v>
      </c>
      <c r="B272" s="40">
        <v>10</v>
      </c>
      <c r="C272" s="40">
        <v>18</v>
      </c>
      <c r="D272" s="39" t="s">
        <v>431</v>
      </c>
      <c r="E272" s="40"/>
      <c r="F272" s="42">
        <f t="shared" ref="F272:L272" si="11">F258+F271</f>
        <v>4518570.4700000007</v>
      </c>
      <c r="G272" s="42">
        <f t="shared" si="11"/>
        <v>2543381.9599999995</v>
      </c>
      <c r="H272" s="42">
        <f t="shared" si="11"/>
        <v>6282964.1199999992</v>
      </c>
      <c r="I272" s="42">
        <f t="shared" si="11"/>
        <v>575840.08000000007</v>
      </c>
      <c r="J272" s="42">
        <f t="shared" si="11"/>
        <v>160068.71</v>
      </c>
      <c r="K272" s="42">
        <f t="shared" si="11"/>
        <v>929060.40999999992</v>
      </c>
      <c r="L272" s="42">
        <f t="shared" si="11"/>
        <v>15009885.75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51978.94</v>
      </c>
      <c r="G277" s="18">
        <v>11821.93</v>
      </c>
      <c r="H277" s="18">
        <v>18188.07</v>
      </c>
      <c r="I277" s="18">
        <v>1076.3</v>
      </c>
      <c r="J277" s="18">
        <v>50000</v>
      </c>
      <c r="K277" s="18">
        <v>4550</v>
      </c>
      <c r="L277" s="19">
        <f>SUM(F277:K277)</f>
        <v>137615.24</v>
      </c>
      <c r="M277" s="8"/>
      <c r="N277" s="266"/>
    </row>
    <row r="278" spans="1:14" s="3" customFormat="1" ht="12.2" customHeight="1" x14ac:dyDescent="0.15">
      <c r="A278" s="1" t="s">
        <v>439</v>
      </c>
      <c r="B278" s="2" t="s">
        <v>357</v>
      </c>
      <c r="C278" s="2" t="s">
        <v>291</v>
      </c>
      <c r="D278" s="2" t="s">
        <v>431</v>
      </c>
      <c r="E278" s="6">
        <v>1200</v>
      </c>
      <c r="F278" s="18">
        <v>0</v>
      </c>
      <c r="G278" s="18">
        <v>0</v>
      </c>
      <c r="H278" s="18">
        <v>0</v>
      </c>
      <c r="I278" s="18">
        <v>0</v>
      </c>
      <c r="J278" s="18">
        <v>0</v>
      </c>
      <c r="K278" s="18">
        <v>0</v>
      </c>
      <c r="L278" s="19">
        <f>SUM(F278:K278)</f>
        <v>0</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v>0</v>
      </c>
      <c r="H282" s="18">
        <v>96003.67</v>
      </c>
      <c r="I282" s="18">
        <v>0</v>
      </c>
      <c r="J282" s="18">
        <v>0</v>
      </c>
      <c r="K282" s="18">
        <v>0</v>
      </c>
      <c r="L282" s="19">
        <f t="shared" ref="L282:L288" si="12">SUM(F282:K282)</f>
        <v>96003.67</v>
      </c>
      <c r="M282" s="8"/>
      <c r="N282" s="266"/>
    </row>
    <row r="283" spans="1:14" s="3" customFormat="1" ht="12.2" customHeight="1" x14ac:dyDescent="0.15">
      <c r="A283" s="1" t="s">
        <v>443</v>
      </c>
      <c r="B283" s="2" t="s">
        <v>357</v>
      </c>
      <c r="C283" s="2" t="s">
        <v>295</v>
      </c>
      <c r="D283" s="2" t="s">
        <v>431</v>
      </c>
      <c r="E283" s="6">
        <v>2200</v>
      </c>
      <c r="F283" s="18">
        <v>19960</v>
      </c>
      <c r="G283" s="18">
        <v>5486.75</v>
      </c>
      <c r="H283" s="18">
        <v>47498.18</v>
      </c>
      <c r="I283" s="18">
        <v>3437</v>
      </c>
      <c r="J283" s="18">
        <v>0</v>
      </c>
      <c r="K283" s="18">
        <v>0</v>
      </c>
      <c r="L283" s="19">
        <f t="shared" si="12"/>
        <v>76381.929999999993</v>
      </c>
      <c r="M283" s="8"/>
      <c r="N283" s="266"/>
    </row>
    <row r="284" spans="1:14" s="3" customFormat="1" ht="12.2" customHeight="1" x14ac:dyDescent="0.15">
      <c r="A284" s="1" t="s">
        <v>444</v>
      </c>
      <c r="B284" s="2" t="s">
        <v>357</v>
      </c>
      <c r="C284" s="2" t="s">
        <v>296</v>
      </c>
      <c r="D284" s="2" t="s">
        <v>431</v>
      </c>
      <c r="E284" s="6">
        <v>2300</v>
      </c>
      <c r="F284" s="18">
        <v>0</v>
      </c>
      <c r="G284" s="18">
        <v>0</v>
      </c>
      <c r="H284" s="18">
        <v>1311.71</v>
      </c>
      <c r="I284" s="18">
        <v>0</v>
      </c>
      <c r="J284" s="18">
        <v>0</v>
      </c>
      <c r="K284" s="18">
        <v>0</v>
      </c>
      <c r="L284" s="19">
        <f t="shared" si="12"/>
        <v>1311.71</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8">
        <v>0</v>
      </c>
      <c r="G287" s="18">
        <v>0</v>
      </c>
      <c r="H287" s="18">
        <v>0</v>
      </c>
      <c r="I287" s="18">
        <v>0</v>
      </c>
      <c r="J287" s="18">
        <v>6366.91</v>
      </c>
      <c r="K287" s="18">
        <v>0</v>
      </c>
      <c r="L287" s="19">
        <f t="shared" si="12"/>
        <v>6366.91</v>
      </c>
      <c r="M287" s="8"/>
      <c r="N287" s="266"/>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71938.94</v>
      </c>
      <c r="G291" s="42">
        <f t="shared" si="13"/>
        <v>17308.68</v>
      </c>
      <c r="H291" s="42">
        <f t="shared" si="13"/>
        <v>163001.62999999998</v>
      </c>
      <c r="I291" s="42">
        <f t="shared" si="13"/>
        <v>4513.3</v>
      </c>
      <c r="J291" s="42">
        <f t="shared" si="13"/>
        <v>56366.91</v>
      </c>
      <c r="K291" s="42">
        <f t="shared" si="13"/>
        <v>4550</v>
      </c>
      <c r="L291" s="41">
        <f t="shared" si="13"/>
        <v>317679.45999999996</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6"/>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6"/>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6"/>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6"/>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6"/>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6"/>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6"/>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6"/>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6"/>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6"/>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6"/>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6"/>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6"/>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6"/>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6"/>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6"/>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6"/>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6"/>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6"/>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6"/>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6"/>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71938.94</v>
      </c>
      <c r="G339" s="41">
        <f t="shared" si="20"/>
        <v>17308.68</v>
      </c>
      <c r="H339" s="41">
        <f t="shared" si="20"/>
        <v>163001.62999999998</v>
      </c>
      <c r="I339" s="41">
        <f t="shared" si="20"/>
        <v>4513.3</v>
      </c>
      <c r="J339" s="41">
        <f t="shared" si="20"/>
        <v>56366.91</v>
      </c>
      <c r="K339" s="41">
        <f t="shared" si="20"/>
        <v>4550</v>
      </c>
      <c r="L339" s="41">
        <f t="shared" si="20"/>
        <v>317679.45999999996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71938.94</v>
      </c>
      <c r="G353" s="41">
        <f>G339</f>
        <v>17308.68</v>
      </c>
      <c r="H353" s="41">
        <f>H339</f>
        <v>163001.62999999998</v>
      </c>
      <c r="I353" s="41">
        <f>I339</f>
        <v>4513.3</v>
      </c>
      <c r="J353" s="41">
        <f>J339</f>
        <v>56366.91</v>
      </c>
      <c r="K353" s="47">
        <f>K339+K352</f>
        <v>4550</v>
      </c>
      <c r="L353" s="41">
        <f>L339+L352</f>
        <v>317679.45999999996</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103430.61</v>
      </c>
      <c r="G359" s="18">
        <v>22462.07</v>
      </c>
      <c r="H359" s="18">
        <v>3918.23</v>
      </c>
      <c r="I359" s="18">
        <v>58443.13</v>
      </c>
      <c r="J359" s="18">
        <v>162.76</v>
      </c>
      <c r="K359" s="18">
        <v>678.95</v>
      </c>
      <c r="L359" s="13">
        <f>SUM(F359:K359)</f>
        <v>189095.75</v>
      </c>
      <c r="M359" s="8"/>
      <c r="N359" s="266"/>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6"/>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103430.61</v>
      </c>
      <c r="G363" s="47">
        <f t="shared" si="22"/>
        <v>22462.07</v>
      </c>
      <c r="H363" s="47">
        <f t="shared" si="22"/>
        <v>3918.23</v>
      </c>
      <c r="I363" s="47">
        <f t="shared" si="22"/>
        <v>58443.13</v>
      </c>
      <c r="J363" s="47">
        <f t="shared" si="22"/>
        <v>162.76</v>
      </c>
      <c r="K363" s="47">
        <f t="shared" si="22"/>
        <v>678.95</v>
      </c>
      <c r="L363" s="47">
        <f t="shared" si="22"/>
        <v>189095.75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52654.37</v>
      </c>
      <c r="G368" s="18">
        <v>0</v>
      </c>
      <c r="H368" s="18">
        <v>0</v>
      </c>
      <c r="I368" s="56">
        <f>SUM(F368:H368)</f>
        <v>52654.37</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5788.76</v>
      </c>
      <c r="G369" s="63">
        <v>0</v>
      </c>
      <c r="H369" s="63">
        <v>0</v>
      </c>
      <c r="I369" s="56">
        <f>SUM(F369:H369)</f>
        <v>5788.76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58443.130000000005</v>
      </c>
      <c r="G370" s="47">
        <f>SUM(G368:G369)</f>
        <v>0</v>
      </c>
      <c r="H370" s="47">
        <f>SUM(H368:H369)</f>
        <v>0</v>
      </c>
      <c r="I370" s="47">
        <f>SUM(I368:I369)</f>
        <v>58443.130000000005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6"/>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6"/>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6"/>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6"/>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6"/>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6"/>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v>0</v>
      </c>
      <c r="G390" s="18">
        <v>85000</v>
      </c>
      <c r="H390" s="18">
        <v>6013.9</v>
      </c>
      <c r="I390" s="18">
        <v>0</v>
      </c>
      <c r="J390" s="24" t="s">
        <v>288</v>
      </c>
      <c r="K390" s="24" t="s">
        <v>288</v>
      </c>
      <c r="L390" s="56">
        <f t="shared" si="25"/>
        <v>91013.9</v>
      </c>
      <c r="M390" s="8"/>
      <c r="N390" s="266"/>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v>0</v>
      </c>
      <c r="G392" s="18">
        <v>15000</v>
      </c>
      <c r="H392" s="18">
        <v>534.74</v>
      </c>
      <c r="I392" s="18">
        <v>0</v>
      </c>
      <c r="J392" s="24" t="s">
        <v>288</v>
      </c>
      <c r="K392" s="24" t="s">
        <v>288</v>
      </c>
      <c r="L392" s="56">
        <f t="shared" si="25"/>
        <v>15534.74</v>
      </c>
      <c r="M392" s="8"/>
      <c r="N392" s="266"/>
    </row>
    <row r="393" spans="1:14" s="3" customFormat="1" ht="12.2" customHeight="1" thickBot="1" x14ac:dyDescent="0.2">
      <c r="A393" s="79" t="s">
        <v>555</v>
      </c>
      <c r="B393" s="2" t="s">
        <v>381</v>
      </c>
      <c r="C393" s="6">
        <v>6</v>
      </c>
      <c r="D393" s="2" t="s">
        <v>432</v>
      </c>
      <c r="E393" s="6"/>
      <c r="F393" s="18">
        <v>0</v>
      </c>
      <c r="G393" s="18">
        <v>0</v>
      </c>
      <c r="H393" s="18">
        <v>2049.56</v>
      </c>
      <c r="I393" s="18">
        <v>0</v>
      </c>
      <c r="J393" s="24" t="s">
        <v>288</v>
      </c>
      <c r="K393" s="24" t="s">
        <v>288</v>
      </c>
      <c r="L393" s="56">
        <f t="shared" si="25"/>
        <v>2049.56</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100000</v>
      </c>
      <c r="H394" s="139">
        <f>SUM(H388:H393)</f>
        <v>8598.1999999999989</v>
      </c>
      <c r="I394" s="65">
        <f>SUM(I388:I393)</f>
        <v>0</v>
      </c>
      <c r="J394" s="45" t="s">
        <v>288</v>
      </c>
      <c r="K394" s="45" t="s">
        <v>288</v>
      </c>
      <c r="L394" s="47">
        <f>SUM(L388:L393)</f>
        <v>108598.2</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v>0</v>
      </c>
      <c r="G397" s="18">
        <v>0</v>
      </c>
      <c r="H397" s="18">
        <v>0</v>
      </c>
      <c r="I397" s="18">
        <v>0</v>
      </c>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v>0</v>
      </c>
      <c r="G398" s="18">
        <v>0</v>
      </c>
      <c r="H398" s="18">
        <v>3005.73</v>
      </c>
      <c r="I398" s="18">
        <v>0</v>
      </c>
      <c r="J398" s="24" t="s">
        <v>288</v>
      </c>
      <c r="K398" s="24" t="s">
        <v>288</v>
      </c>
      <c r="L398" s="56">
        <f t="shared" si="26"/>
        <v>3005.73</v>
      </c>
      <c r="M398" s="8"/>
      <c r="N398" s="266"/>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3005.73</v>
      </c>
      <c r="I402" s="47">
        <f>SUM(I396:I401)</f>
        <v>0</v>
      </c>
      <c r="J402" s="45" t="s">
        <v>288</v>
      </c>
      <c r="K402" s="45" t="s">
        <v>288</v>
      </c>
      <c r="L402" s="47">
        <f>SUM(L396:L401)</f>
        <v>3005.73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100000</v>
      </c>
      <c r="H409" s="47">
        <f>H394+H402+H408</f>
        <v>11603.929999999998</v>
      </c>
      <c r="I409" s="47">
        <f>I394+I402+I408</f>
        <v>0</v>
      </c>
      <c r="J409" s="24" t="s">
        <v>288</v>
      </c>
      <c r="K409" s="24" t="s">
        <v>288</v>
      </c>
      <c r="L409" s="47">
        <f>L394+L402+L408</f>
        <v>111603.93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6"/>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6"/>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6"/>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6"/>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6"/>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6"/>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6"/>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6"/>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271442.27</v>
      </c>
      <c r="G441" s="18">
        <v>0</v>
      </c>
      <c r="H441" s="18">
        <v>904433.48</v>
      </c>
      <c r="I441" s="56">
        <f t="shared" si="33"/>
        <v>1175875.75</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271442.27</v>
      </c>
      <c r="G447" s="13">
        <f>SUM(G440:G446)</f>
        <v>0</v>
      </c>
      <c r="H447" s="13">
        <f>SUM(H440:H446)</f>
        <v>904433.48</v>
      </c>
      <c r="I447" s="13">
        <f>SUM(I440:I446)</f>
        <v>1175875.75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271442.27</v>
      </c>
      <c r="G460" s="18">
        <v>0</v>
      </c>
      <c r="H460" s="18">
        <v>904433.48</v>
      </c>
      <c r="I460" s="56">
        <f t="shared" si="34"/>
        <v>1175875.75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271442.27</v>
      </c>
      <c r="G461" s="83">
        <f>SUM(G455:G460)</f>
        <v>0</v>
      </c>
      <c r="H461" s="83">
        <f>SUM(H455:H460)</f>
        <v>904433.48</v>
      </c>
      <c r="I461" s="83">
        <f>SUM(I455:I460)</f>
        <v>1175875.75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271442.27</v>
      </c>
      <c r="G462" s="42">
        <f>G453+G461</f>
        <v>0</v>
      </c>
      <c r="H462" s="42">
        <f>H453+H461</f>
        <v>904433.48</v>
      </c>
      <c r="I462" s="42">
        <f>I453+I461</f>
        <v>1175875.75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1012991.88</v>
      </c>
      <c r="G466" s="18">
        <v>309.98</v>
      </c>
      <c r="H466" s="18">
        <v>0</v>
      </c>
      <c r="I466" s="18">
        <v>0</v>
      </c>
      <c r="J466" s="18">
        <v>1064271.82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14307628.99</v>
      </c>
      <c r="G469" s="18">
        <v>188785.77</v>
      </c>
      <c r="H469" s="18">
        <v>317679.46000000002</v>
      </c>
      <c r="I469" s="18">
        <v>0</v>
      </c>
      <c r="J469" s="18">
        <v>111603.93</v>
      </c>
      <c r="K469" s="24" t="s">
        <v>288</v>
      </c>
      <c r="L469" s="24" t="s">
        <v>288</v>
      </c>
      <c r="N469" s="265"/>
    </row>
    <row r="470" spans="1:14" s="52" customFormat="1" ht="12.2" customHeight="1" x14ac:dyDescent="0.2">
      <c r="A470" s="93" t="s">
        <v>611</v>
      </c>
      <c r="B470" s="75">
        <v>19</v>
      </c>
      <c r="C470" s="80">
        <v>3</v>
      </c>
      <c r="D470" s="2" t="s">
        <v>432</v>
      </c>
      <c r="E470" s="80"/>
      <c r="F470" s="18">
        <v>0</v>
      </c>
      <c r="G470" s="18">
        <v>0</v>
      </c>
      <c r="H470" s="18">
        <v>0</v>
      </c>
      <c r="I470" s="18">
        <v>0</v>
      </c>
      <c r="J470" s="18">
        <v>0</v>
      </c>
      <c r="K470" s="24" t="s">
        <v>288</v>
      </c>
      <c r="L470" s="24" t="s">
        <v>288</v>
      </c>
      <c r="N470" s="265"/>
    </row>
    <row r="471" spans="1:14" s="52" customFormat="1" ht="12.2" customHeight="1" x14ac:dyDescent="0.2">
      <c r="A471" s="92" t="s">
        <v>425</v>
      </c>
      <c r="B471" s="75">
        <v>19</v>
      </c>
      <c r="C471" s="80">
        <v>4</v>
      </c>
      <c r="D471" s="2" t="s">
        <v>432</v>
      </c>
      <c r="E471" s="80"/>
      <c r="F471" s="53">
        <f>SUM(F469:F470)</f>
        <v>14307628.99</v>
      </c>
      <c r="G471" s="53">
        <f>SUM(G469:G470)</f>
        <v>188785.77</v>
      </c>
      <c r="H471" s="53">
        <f>SUM(H469:H470)</f>
        <v>317679.46000000002</v>
      </c>
      <c r="I471" s="53">
        <f>SUM(I469:I470)</f>
        <v>0</v>
      </c>
      <c r="J471" s="53">
        <f>SUM(J469:J470)</f>
        <v>111603.93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15009885.75</v>
      </c>
      <c r="G473" s="18">
        <v>189095.75</v>
      </c>
      <c r="H473" s="18">
        <v>317679.46000000002</v>
      </c>
      <c r="I473" s="18">
        <v>0</v>
      </c>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v>0</v>
      </c>
      <c r="J474" s="18">
        <v>0</v>
      </c>
      <c r="K474" s="24" t="s">
        <v>288</v>
      </c>
      <c r="L474" s="24" t="s">
        <v>288</v>
      </c>
      <c r="N474" s="265"/>
    </row>
    <row r="475" spans="1:14" s="52" customFormat="1" ht="12.2" customHeight="1" x14ac:dyDescent="0.2">
      <c r="A475" s="92" t="s">
        <v>426</v>
      </c>
      <c r="B475" s="75">
        <v>19</v>
      </c>
      <c r="C475" s="80">
        <v>7</v>
      </c>
      <c r="D475" s="2" t="s">
        <v>432</v>
      </c>
      <c r="E475" s="80"/>
      <c r="F475" s="53">
        <f>SUM(F473:F474)</f>
        <v>15009885.75</v>
      </c>
      <c r="G475" s="53">
        <f>SUM(G473:G474)</f>
        <v>189095.75</v>
      </c>
      <c r="H475" s="53">
        <f>SUM(H473:H474)</f>
        <v>317679.46000000002</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310735.12000000104</v>
      </c>
      <c r="G477" s="53">
        <f>(G466+G471)- G475</f>
        <v>0</v>
      </c>
      <c r="H477" s="53">
        <f>(H466+H471)- H475</f>
        <v>0</v>
      </c>
      <c r="I477" s="53">
        <f>(I466+I471)- I475</f>
        <v>0</v>
      </c>
      <c r="J477" s="53">
        <f>(J466+J471)- J475</f>
        <v>1175875.75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0</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0</v>
      </c>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v>0</v>
      </c>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v>0</v>
      </c>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v>0</v>
      </c>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v>0</v>
      </c>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999655.27</v>
      </c>
      <c r="G522" s="18">
        <v>628153.15</v>
      </c>
      <c r="H522" s="18">
        <v>282600.40999999997</v>
      </c>
      <c r="I522" s="18">
        <v>9553.4699999999993</v>
      </c>
      <c r="J522" s="18">
        <v>11280.02</v>
      </c>
      <c r="K522" s="18">
        <v>6456.82</v>
      </c>
      <c r="L522" s="88">
        <f>SUM(F522:K522)</f>
        <v>1937699.14</v>
      </c>
      <c r="N522" s="265"/>
    </row>
    <row r="523" spans="1:14" s="52" customFormat="1" ht="12.2" customHeight="1" x14ac:dyDescent="0.2">
      <c r="A523" s="22" t="s">
        <v>634</v>
      </c>
      <c r="B523" s="105">
        <v>21</v>
      </c>
      <c r="C523" s="115">
        <v>2</v>
      </c>
      <c r="D523" s="2" t="s">
        <v>432</v>
      </c>
      <c r="E523" s="115"/>
      <c r="F523" s="18">
        <v>0</v>
      </c>
      <c r="G523" s="18">
        <v>0</v>
      </c>
      <c r="H523" s="18">
        <v>0</v>
      </c>
      <c r="I523" s="18">
        <v>0</v>
      </c>
      <c r="J523" s="18">
        <v>0</v>
      </c>
      <c r="K523" s="18">
        <v>0</v>
      </c>
      <c r="L523" s="88">
        <f>SUM(F523:K523)</f>
        <v>0</v>
      </c>
      <c r="N523" s="265"/>
    </row>
    <row r="524" spans="1:14" s="52" customFormat="1" ht="12.2" customHeight="1" thickBot="1" x14ac:dyDescent="0.25">
      <c r="A524" s="22" t="s">
        <v>635</v>
      </c>
      <c r="B524" s="105">
        <v>21</v>
      </c>
      <c r="C524" s="115">
        <v>3</v>
      </c>
      <c r="D524" s="2" t="s">
        <v>432</v>
      </c>
      <c r="E524" s="115"/>
      <c r="F524" s="18">
        <v>0</v>
      </c>
      <c r="G524" s="18">
        <v>0</v>
      </c>
      <c r="H524" s="18">
        <v>410943.72</v>
      </c>
      <c r="I524" s="18">
        <v>672.99</v>
      </c>
      <c r="J524" s="18">
        <v>0</v>
      </c>
      <c r="K524" s="18">
        <v>0</v>
      </c>
      <c r="L524" s="88">
        <f>SUM(F524:K524)</f>
        <v>411616.70999999996</v>
      </c>
      <c r="N524" s="265"/>
    </row>
    <row r="525" spans="1:14" s="52" customFormat="1" ht="12.2" customHeight="1" thickTop="1" x14ac:dyDescent="0.2">
      <c r="A525" s="139" t="s">
        <v>63</v>
      </c>
      <c r="B525" s="107">
        <v>21</v>
      </c>
      <c r="C525" s="195">
        <v>4</v>
      </c>
      <c r="D525" s="196" t="s">
        <v>432</v>
      </c>
      <c r="E525" s="195"/>
      <c r="F525" s="108">
        <f>SUM(F522:F524)</f>
        <v>999655.27</v>
      </c>
      <c r="G525" s="108">
        <f t="shared" ref="G525:L525" si="36">SUM(G522:G524)</f>
        <v>628153.15</v>
      </c>
      <c r="H525" s="108">
        <f t="shared" si="36"/>
        <v>693544.12999999989</v>
      </c>
      <c r="I525" s="108">
        <f t="shared" si="36"/>
        <v>10226.459999999999</v>
      </c>
      <c r="J525" s="108">
        <f t="shared" si="36"/>
        <v>11280.02</v>
      </c>
      <c r="K525" s="108">
        <f t="shared" si="36"/>
        <v>6456.82</v>
      </c>
      <c r="L525" s="89">
        <f t="shared" si="36"/>
        <v>2349315.8499999996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0</v>
      </c>
      <c r="G527" s="18">
        <v>4347.1099999999997</v>
      </c>
      <c r="H527" s="18">
        <v>119503.67</v>
      </c>
      <c r="I527" s="18">
        <v>3002.15</v>
      </c>
      <c r="J527" s="18">
        <v>0</v>
      </c>
      <c r="K527" s="18">
        <v>0</v>
      </c>
      <c r="L527" s="88">
        <f>SUM(F527:K527)</f>
        <v>126852.93</v>
      </c>
      <c r="M527" s="8"/>
      <c r="N527" s="266"/>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6"/>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4347.1099999999997</v>
      </c>
      <c r="H530" s="89">
        <f t="shared" si="37"/>
        <v>119503.67</v>
      </c>
      <c r="I530" s="89">
        <f t="shared" si="37"/>
        <v>3002.15</v>
      </c>
      <c r="J530" s="89">
        <f t="shared" si="37"/>
        <v>0</v>
      </c>
      <c r="K530" s="89">
        <f t="shared" si="37"/>
        <v>0</v>
      </c>
      <c r="L530" s="89">
        <f t="shared" si="37"/>
        <v>126852.93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0</v>
      </c>
      <c r="G532" s="18">
        <v>0</v>
      </c>
      <c r="H532" s="18">
        <v>0</v>
      </c>
      <c r="I532" s="18">
        <v>0</v>
      </c>
      <c r="J532" s="18">
        <v>0</v>
      </c>
      <c r="K532" s="18">
        <v>0</v>
      </c>
      <c r="L532" s="88">
        <f>SUM(F532:K532)</f>
        <v>0</v>
      </c>
      <c r="M532" s="8"/>
      <c r="N532" s="266"/>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6"/>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6"/>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6"/>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0</v>
      </c>
      <c r="G542" s="18">
        <v>0</v>
      </c>
      <c r="H542" s="18">
        <v>118673</v>
      </c>
      <c r="I542" s="18">
        <v>0</v>
      </c>
      <c r="J542" s="18">
        <v>0</v>
      </c>
      <c r="K542" s="18">
        <v>0</v>
      </c>
      <c r="L542" s="88">
        <f>SUM(F542:K542)</f>
        <v>118673</v>
      </c>
      <c r="M542" s="8"/>
      <c r="N542" s="266"/>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6"/>
    </row>
    <row r="544" spans="1:14" s="3" customFormat="1" ht="12.2" customHeight="1" thickBot="1" x14ac:dyDescent="0.2">
      <c r="A544" s="22" t="s">
        <v>635</v>
      </c>
      <c r="B544" s="105">
        <v>21</v>
      </c>
      <c r="C544" s="105">
        <v>19</v>
      </c>
      <c r="D544" s="2" t="s">
        <v>432</v>
      </c>
      <c r="E544" s="105"/>
      <c r="F544" s="18">
        <v>0</v>
      </c>
      <c r="G544" s="18">
        <v>0</v>
      </c>
      <c r="H544" s="18">
        <v>71420</v>
      </c>
      <c r="I544" s="18">
        <v>0</v>
      </c>
      <c r="J544" s="18">
        <v>0</v>
      </c>
      <c r="K544" s="18">
        <v>0</v>
      </c>
      <c r="L544" s="88">
        <f>SUM(F544:K544)</f>
        <v>71420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190093</v>
      </c>
      <c r="I545" s="193">
        <f t="shared" si="40"/>
        <v>0</v>
      </c>
      <c r="J545" s="193">
        <f t="shared" si="40"/>
        <v>0</v>
      </c>
      <c r="K545" s="193">
        <f t="shared" si="40"/>
        <v>0</v>
      </c>
      <c r="L545" s="193">
        <f t="shared" si="40"/>
        <v>190093</v>
      </c>
      <c r="M545" s="8"/>
      <c r="N545" s="266"/>
    </row>
    <row r="546" spans="1:14" s="3" customFormat="1" ht="12.2" customHeight="1" thickTop="1" x14ac:dyDescent="0.15">
      <c r="A546" s="98" t="s">
        <v>72</v>
      </c>
      <c r="B546" s="107">
        <v>21</v>
      </c>
      <c r="C546" s="107">
        <v>21</v>
      </c>
      <c r="D546" s="158" t="s">
        <v>432</v>
      </c>
      <c r="E546" s="107"/>
      <c r="F546" s="89">
        <f>F525+F530+F535+F540+F545</f>
        <v>999655.27</v>
      </c>
      <c r="G546" s="89">
        <f t="shared" ref="G546:L546" si="41">G525+G530+G535+G540+G545</f>
        <v>632500.26</v>
      </c>
      <c r="H546" s="89">
        <f t="shared" si="41"/>
        <v>1003140.7999999999</v>
      </c>
      <c r="I546" s="89">
        <f t="shared" si="41"/>
        <v>13228.609999999999</v>
      </c>
      <c r="J546" s="89">
        <f t="shared" si="41"/>
        <v>11280.02</v>
      </c>
      <c r="K546" s="89">
        <f t="shared" si="41"/>
        <v>6456.82</v>
      </c>
      <c r="L546" s="89">
        <f t="shared" si="41"/>
        <v>2666261.7799999998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1937699.14</v>
      </c>
      <c r="G550" s="87">
        <f>L527</f>
        <v>126852.93</v>
      </c>
      <c r="H550" s="87">
        <f>L532</f>
        <v>0</v>
      </c>
      <c r="I550" s="87">
        <f>L537</f>
        <v>0</v>
      </c>
      <c r="J550" s="87">
        <f>L542</f>
        <v>118673</v>
      </c>
      <c r="K550" s="87">
        <f>SUM(F550:J550)</f>
        <v>2183225.0699999998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411616.70999999996</v>
      </c>
      <c r="G552" s="87">
        <f>L529</f>
        <v>0</v>
      </c>
      <c r="H552" s="87">
        <f>L534</f>
        <v>0</v>
      </c>
      <c r="I552" s="87">
        <f>L539</f>
        <v>0</v>
      </c>
      <c r="J552" s="87">
        <f>L544</f>
        <v>71420</v>
      </c>
      <c r="K552" s="87">
        <f>SUM(F552:J552)</f>
        <v>483036.70999999996</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2349315.8499999996</v>
      </c>
      <c r="G553" s="89">
        <f t="shared" si="42"/>
        <v>126852.93</v>
      </c>
      <c r="H553" s="89">
        <f t="shared" si="42"/>
        <v>0</v>
      </c>
      <c r="I553" s="89">
        <f t="shared" si="42"/>
        <v>0</v>
      </c>
      <c r="J553" s="89">
        <f t="shared" si="42"/>
        <v>190093</v>
      </c>
      <c r="K553" s="89">
        <f t="shared" si="42"/>
        <v>2666261.7799999998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6"/>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6"/>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6"/>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6"/>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59204.15</v>
      </c>
      <c r="G568" s="18">
        <v>39746.82</v>
      </c>
      <c r="H568" s="18">
        <v>2072.75</v>
      </c>
      <c r="I568" s="18">
        <v>1936.16</v>
      </c>
      <c r="J568" s="18">
        <v>0</v>
      </c>
      <c r="K568" s="18">
        <v>2158.8200000000002</v>
      </c>
      <c r="L568" s="88">
        <f>SUM(F568:K568)</f>
        <v>105118.70000000001</v>
      </c>
      <c r="M568" s="8"/>
      <c r="N568" s="266"/>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6"/>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59204.15</v>
      </c>
      <c r="G571" s="193">
        <f t="shared" ref="G571:L571" si="45">SUM(G568:G570)</f>
        <v>39746.82</v>
      </c>
      <c r="H571" s="193">
        <f t="shared" si="45"/>
        <v>2072.75</v>
      </c>
      <c r="I571" s="193">
        <f t="shared" si="45"/>
        <v>1936.16</v>
      </c>
      <c r="J571" s="193">
        <f t="shared" si="45"/>
        <v>0</v>
      </c>
      <c r="K571" s="193">
        <f t="shared" si="45"/>
        <v>2158.8200000000002</v>
      </c>
      <c r="L571" s="193">
        <f t="shared" si="45"/>
        <v>105118.70000000001</v>
      </c>
      <c r="M571" s="8"/>
      <c r="N571" s="266"/>
    </row>
    <row r="572" spans="1:14" s="3" customFormat="1" ht="12.2" customHeight="1" thickTop="1" x14ac:dyDescent="0.15">
      <c r="A572" s="98" t="s">
        <v>88</v>
      </c>
      <c r="B572" s="107">
        <v>22</v>
      </c>
      <c r="C572" s="107">
        <v>13</v>
      </c>
      <c r="D572" s="158" t="s">
        <v>432</v>
      </c>
      <c r="E572" s="107"/>
      <c r="F572" s="89">
        <f>F561+F566+F571</f>
        <v>59204.15</v>
      </c>
      <c r="G572" s="89">
        <f t="shared" ref="G572:L572" si="46">G561+G566+G571</f>
        <v>39746.82</v>
      </c>
      <c r="H572" s="89">
        <f t="shared" si="46"/>
        <v>2072.75</v>
      </c>
      <c r="I572" s="89">
        <f t="shared" si="46"/>
        <v>1936.16</v>
      </c>
      <c r="J572" s="89">
        <f t="shared" si="46"/>
        <v>0</v>
      </c>
      <c r="K572" s="89">
        <f t="shared" si="46"/>
        <v>2158.8200000000002</v>
      </c>
      <c r="L572" s="89">
        <f t="shared" si="46"/>
        <v>105118.70000000001</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4271831.45</v>
      </c>
      <c r="I578" s="87">
        <f t="shared" si="47"/>
        <v>4271831.45</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0</v>
      </c>
      <c r="G580" s="18">
        <v>0</v>
      </c>
      <c r="H580" s="18">
        <v>0</v>
      </c>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177337.17</v>
      </c>
      <c r="G583" s="18">
        <v>0</v>
      </c>
      <c r="H583" s="18">
        <v>136558.07999999999</v>
      </c>
      <c r="I583" s="87">
        <f t="shared" si="47"/>
        <v>313895.25</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269250.93</v>
      </c>
      <c r="I592" s="18">
        <v>0</v>
      </c>
      <c r="J592" s="18">
        <v>120065.84</v>
      </c>
      <c r="K592" s="104">
        <f t="shared" ref="K592:K598" si="48">SUM(H592:J592)</f>
        <v>389316.77</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118673</v>
      </c>
      <c r="I593" s="18">
        <v>0</v>
      </c>
      <c r="J593" s="18">
        <v>71420</v>
      </c>
      <c r="K593" s="104">
        <f t="shared" si="48"/>
        <v>190093</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8164.29</v>
      </c>
      <c r="I595" s="18">
        <v>0</v>
      </c>
      <c r="J595" s="18">
        <v>0</v>
      </c>
      <c r="K595" s="104">
        <f t="shared" si="48"/>
        <v>8164.29</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2125</v>
      </c>
      <c r="I596" s="18">
        <v>0</v>
      </c>
      <c r="J596" s="18">
        <v>0</v>
      </c>
      <c r="K596" s="104">
        <f t="shared" si="48"/>
        <v>2125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398213.22</v>
      </c>
      <c r="I599" s="108">
        <f>SUM(I592:I598)</f>
        <v>0</v>
      </c>
      <c r="J599" s="108">
        <f>SUM(J592:J598)</f>
        <v>191485.84</v>
      </c>
      <c r="K599" s="108">
        <f>SUM(K592:K598)</f>
        <v>589699.06000000006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216435.62</v>
      </c>
      <c r="I605" s="18">
        <v>0</v>
      </c>
      <c r="J605" s="18">
        <v>0</v>
      </c>
      <c r="K605" s="104">
        <f>SUM(H605:J605)</f>
        <v>216435.62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216435.62</v>
      </c>
      <c r="I606" s="108">
        <f>SUM(I603:I605)</f>
        <v>0</v>
      </c>
      <c r="J606" s="108">
        <f>SUM(J603:J605)</f>
        <v>0</v>
      </c>
      <c r="K606" s="108">
        <f>SUM(K603:K605)</f>
        <v>216435.62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0</v>
      </c>
      <c r="G612" s="18">
        <v>0</v>
      </c>
      <c r="H612" s="18">
        <v>0</v>
      </c>
      <c r="I612" s="18">
        <v>0</v>
      </c>
      <c r="J612" s="18">
        <v>0</v>
      </c>
      <c r="K612" s="18">
        <v>0</v>
      </c>
      <c r="L612" s="88">
        <f>SUM(F612:K612)</f>
        <v>0</v>
      </c>
      <c r="M612" s="8"/>
      <c r="N612" s="266"/>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6"/>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659263.55000000005</v>
      </c>
      <c r="H618" s="109">
        <f>SUM(F52)</f>
        <v>659263.54999999993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203309.59000000003</v>
      </c>
      <c r="H619" s="109">
        <f>SUM(G52)</f>
        <v>203309.59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42737.2</v>
      </c>
      <c r="H620" s="109">
        <f>SUM(H52)</f>
        <v>42737.2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1175875.75</v>
      </c>
      <c r="H622" s="109">
        <f>SUM(J52)</f>
        <v>1175875.75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310735.12</v>
      </c>
      <c r="H623" s="109">
        <f>F477</f>
        <v>310735.12000000104</v>
      </c>
      <c r="I623" s="121" t="s">
        <v>101</v>
      </c>
      <c r="J623" s="109">
        <f t="shared" ref="J623:J656" si="50">G623-H623</f>
        <v>-1.0477378964424133E-9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1175875.75</v>
      </c>
      <c r="H627" s="109">
        <f>J477</f>
        <v>1175875.75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14307628.99</v>
      </c>
      <c r="H628" s="104">
        <f>SUM(F469)</f>
        <v>14307628.99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188785.77</v>
      </c>
      <c r="H629" s="104">
        <f>SUM(G469)</f>
        <v>188785.77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317679.45999999996</v>
      </c>
      <c r="H630" s="104">
        <f>SUM(H469)</f>
        <v>317679.46000000002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111603.93</v>
      </c>
      <c r="H632" s="104">
        <f>SUM(J469)</f>
        <v>111603.93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15009885.75</v>
      </c>
      <c r="H633" s="104">
        <f>SUM(F473)</f>
        <v>15009885.75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317679.45999999996</v>
      </c>
      <c r="H634" s="104">
        <f>SUM(H473)</f>
        <v>317679.46000000002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58443.13</v>
      </c>
      <c r="H635" s="104">
        <f>I370</f>
        <v>58443.130000000005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189095.75</v>
      </c>
      <c r="H636" s="104">
        <f>SUM(G473)</f>
        <v>189095.75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111603.93</v>
      </c>
      <c r="H638" s="164">
        <f>SUM(J469)</f>
        <v>111603.93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271442.27</v>
      </c>
      <c r="H640" s="104">
        <f>SUM(F462)</f>
        <v>271442.27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904433.48</v>
      </c>
      <c r="H642" s="104">
        <f>SUM(H462)</f>
        <v>904433.48</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1175875.75</v>
      </c>
      <c r="H643" s="104">
        <f>SUM(I462)</f>
        <v>1175875.75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11603.93</v>
      </c>
      <c r="H645" s="104">
        <f>H409</f>
        <v>11603.929999999998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111603.93</v>
      </c>
      <c r="H647" s="104">
        <f>L409</f>
        <v>111603.93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589699.06000000006</v>
      </c>
      <c r="H648" s="104">
        <f>L209+L227+L245</f>
        <v>589699.05999999994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216435.62</v>
      </c>
      <c r="H649" s="104">
        <f>(J258+J339)-(J256+J337)</f>
        <v>216435.62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398213.22</v>
      </c>
      <c r="H650" s="104">
        <f>H599</f>
        <v>398213.22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191485.84</v>
      </c>
      <c r="H652" s="104">
        <f>J599</f>
        <v>191485.84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86336.34</v>
      </c>
      <c r="H653" s="104">
        <f>K264+K346</f>
        <v>86336.34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9724989.120000001</v>
      </c>
      <c r="G661" s="19">
        <f>(L230+L310+L360)</f>
        <v>0</v>
      </c>
      <c r="H661" s="19">
        <f>(L248+L329+L361)</f>
        <v>4874934</v>
      </c>
      <c r="I661" s="19">
        <f>SUM(F661:H661)</f>
        <v>14599923.120000001</v>
      </c>
      <c r="J661" s="13"/>
      <c r="K661" s="13"/>
      <c r="L661" s="13"/>
      <c r="M661" s="9"/>
    </row>
    <row r="662" spans="1:13" s="3" customFormat="1" ht="12.2" customHeight="1" x14ac:dyDescent="0.2">
      <c r="A662" s="1" t="s">
        <v>127</v>
      </c>
      <c r="F662" s="19">
        <f>(L359/IF(SUM(L359:L361)=0,1,SUM(L359:L361))*(SUM(G97:G110)))</f>
        <v>45753.1</v>
      </c>
      <c r="G662" s="19">
        <f>(L360/IF(SUM(L359:L361)=0,1,SUM(L359:L361))*(SUM(G97:G110)))</f>
        <v>0</v>
      </c>
      <c r="H662" s="19">
        <f>(L361/IF(SUM(L359:L361)=0,1,SUM(L359:L361))*(SUM(G97:G110)))</f>
        <v>0</v>
      </c>
      <c r="I662" s="19">
        <f>SUM(F662:H662)</f>
        <v>45753.1</v>
      </c>
      <c r="J662"/>
      <c r="K662" s="13"/>
      <c r="L662" s="13"/>
      <c r="M662" s="8"/>
    </row>
    <row r="663" spans="1:13" s="3" customFormat="1" ht="12.2" customHeight="1" x14ac:dyDescent="0.2">
      <c r="A663" s="1" t="s">
        <v>128</v>
      </c>
      <c r="F663" s="19">
        <f>(L209+L288)-(J209+J288)</f>
        <v>398213.22</v>
      </c>
      <c r="G663" s="19">
        <f>(L227+L307)-(J227+J307)</f>
        <v>0</v>
      </c>
      <c r="H663" s="19">
        <f>(L245+L326)-(J245+J326)</f>
        <v>191485.84</v>
      </c>
      <c r="I663" s="19">
        <f>SUM(F663:H663)</f>
        <v>589699.05999999994</v>
      </c>
      <c r="J663"/>
      <c r="K663" s="13"/>
      <c r="L663" s="13"/>
      <c r="M663" s="9"/>
    </row>
    <row r="664" spans="1:13" s="3" customFormat="1" ht="12.2" customHeight="1" x14ac:dyDescent="0.15">
      <c r="A664" s="198" t="s">
        <v>129</v>
      </c>
      <c r="B664" s="169"/>
      <c r="C664" s="169"/>
      <c r="D664" s="169"/>
      <c r="E664" s="169"/>
      <c r="F664" s="199">
        <f>SUM(F576:F588)+SUM(H603:H605)+SUM(L612)</f>
        <v>393772.79000000004</v>
      </c>
      <c r="G664" s="199">
        <f>SUM(G576:G588)+SUM(I603:I605)+L613</f>
        <v>0</v>
      </c>
      <c r="H664" s="199">
        <f>SUM(H576:H588)+SUM(J603:J605)+L614</f>
        <v>4408389.53</v>
      </c>
      <c r="I664" s="19">
        <f>SUM(F664:H664)</f>
        <v>4802162.32</v>
      </c>
      <c r="J664" s="13"/>
      <c r="K664" s="13"/>
      <c r="L664" s="13"/>
      <c r="M664" s="9"/>
    </row>
    <row r="665" spans="1:13" s="3" customFormat="1" ht="12.2" customHeight="1" x14ac:dyDescent="0.15">
      <c r="A665" s="1" t="s">
        <v>130</v>
      </c>
      <c r="F665" s="19">
        <f>F661-SUM(F662:F664)</f>
        <v>8887250.0100000016</v>
      </c>
      <c r="G665" s="19">
        <f>G661-SUM(G662:G664)</f>
        <v>0</v>
      </c>
      <c r="H665" s="19">
        <f>H661-SUM(H662:H664)</f>
        <v>275058.62999999989</v>
      </c>
      <c r="I665" s="19">
        <f>I661-SUM(I662:I664)</f>
        <v>9162308.6400000006</v>
      </c>
      <c r="J665" s="13"/>
      <c r="K665" s="13"/>
      <c r="L665" s="13"/>
      <c r="M665" s="8"/>
    </row>
    <row r="666" spans="1:13" s="3" customFormat="1" ht="12.2" customHeight="1" x14ac:dyDescent="0.2">
      <c r="A666" s="1" t="s">
        <v>131</v>
      </c>
      <c r="F666" s="246">
        <v>408.28</v>
      </c>
      <c r="G666" s="247"/>
      <c r="H666" s="247"/>
      <c r="I666" s="19">
        <f>SUM(F666:H666)</f>
        <v>408.28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21767.54</v>
      </c>
      <c r="G668" s="19" t="e">
        <f>ROUND(G665/G666,2)</f>
        <v>#DIV/0!</v>
      </c>
      <c r="H668" s="19" t="e">
        <f>ROUND(H665/H666,2)</f>
        <v>#DIV/0!</v>
      </c>
      <c r="I668" s="19">
        <f>ROUND(I665/I666,2)</f>
        <v>22441.24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-275058.63</v>
      </c>
      <c r="I670" s="19">
        <f>SUM(F670:H670)</f>
        <v>-275058.63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21767.54</v>
      </c>
      <c r="G673" s="19" t="e">
        <f>ROUND((G665+G670)/(G666+G671),2)</f>
        <v>#DIV/0!</v>
      </c>
      <c r="H673" s="19" t="e">
        <f>ROUND((H665+H670)/(H666+H671),2)</f>
        <v>#DIV/0!</v>
      </c>
      <c r="I673" s="19">
        <f>ROUND((I665+I670)/(I666+I671),2)</f>
        <v>21767.54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Alton School District</v>
      </c>
      <c r="C5" s="344"/>
      <c r="D5" s="344"/>
      <c r="E5" s="344"/>
      <c r="F5" s="344"/>
    </row>
    <row r="8" spans="1:9" ht="18" x14ac:dyDescent="0.25">
      <c r="A8" s="323" t="s">
        <v>1591</v>
      </c>
      <c r="F8" s="330" t="s">
        <v>1609</v>
      </c>
    </row>
    <row r="9" spans="1:9" ht="15" x14ac:dyDescent="0.2">
      <c r="A9" s="321" t="s">
        <v>1592</v>
      </c>
      <c r="B9" s="324">
        <f>'DOE25'!G97</f>
        <v>45753.1</v>
      </c>
      <c r="F9" s="321" t="s">
        <v>1605</v>
      </c>
    </row>
    <row r="10" spans="1:9" ht="15" x14ac:dyDescent="0.2">
      <c r="A10" s="321" t="s">
        <v>1593</v>
      </c>
      <c r="B10" s="324">
        <f>'DOE25'!G112-'DOE25'!G97</f>
        <v>658.62999999999738</v>
      </c>
      <c r="F10" s="321" t="s">
        <v>1606</v>
      </c>
    </row>
    <row r="11" spans="1:9" ht="15" x14ac:dyDescent="0.2">
      <c r="A11" s="321" t="s">
        <v>1594</v>
      </c>
      <c r="B11" s="324">
        <f>'DOE25'!G140</f>
        <v>394.59</v>
      </c>
      <c r="F11" s="321" t="s">
        <v>1607</v>
      </c>
    </row>
    <row r="12" spans="1:9" ht="15" x14ac:dyDescent="0.2">
      <c r="A12" s="321" t="s">
        <v>1595</v>
      </c>
      <c r="B12" s="324">
        <f>'DOE25'!G170</f>
        <v>55643.11</v>
      </c>
      <c r="F12" s="321" t="s">
        <v>1608</v>
      </c>
    </row>
    <row r="13" spans="1:9" ht="15" x14ac:dyDescent="0.2">
      <c r="A13" s="321" t="s">
        <v>1596</v>
      </c>
      <c r="B13" s="324">
        <f>'DOE25'!G193-'DOE25'!G180</f>
        <v>0</v>
      </c>
      <c r="F13" s="321" t="s">
        <v>1618</v>
      </c>
    </row>
    <row r="14" spans="1:9" ht="18" x14ac:dyDescent="0.25">
      <c r="A14" s="323" t="s">
        <v>732</v>
      </c>
      <c r="B14" s="325">
        <f>SUM(B9:B13)</f>
        <v>102449.43</v>
      </c>
    </row>
    <row r="16" spans="1:9" ht="18" x14ac:dyDescent="0.25">
      <c r="A16" s="323" t="s">
        <v>786</v>
      </c>
      <c r="F16" s="330" t="s">
        <v>1610</v>
      </c>
    </row>
    <row r="17" spans="1:6" ht="15" x14ac:dyDescent="0.2">
      <c r="A17" s="321" t="s">
        <v>1597</v>
      </c>
      <c r="B17" s="324">
        <f>'DOE25'!L363-'DOE25'!L362</f>
        <v>189095.75</v>
      </c>
      <c r="F17" s="321" t="s">
        <v>1611</v>
      </c>
    </row>
    <row r="18" spans="1:6" ht="15" x14ac:dyDescent="0.2">
      <c r="A18" s="321" t="s">
        <v>1598</v>
      </c>
      <c r="B18" s="338"/>
      <c r="F18" s="330" t="s">
        <v>1637</v>
      </c>
    </row>
    <row r="19" spans="1:6" ht="18" x14ac:dyDescent="0.25">
      <c r="A19" s="323" t="s">
        <v>725</v>
      </c>
      <c r="B19" s="325">
        <f>SUM(B17:B18)</f>
        <v>189095.75</v>
      </c>
    </row>
    <row r="21" spans="1:6" ht="18.75" thickBot="1" x14ac:dyDescent="0.3">
      <c r="A21" s="323" t="s">
        <v>1599</v>
      </c>
    </row>
    <row r="22" spans="1:6" ht="18.75" thickTop="1" x14ac:dyDescent="0.25">
      <c r="A22" s="323" t="s">
        <v>1600</v>
      </c>
      <c r="B22" s="329">
        <f>B14-B19</f>
        <v>-86646.32</v>
      </c>
      <c r="F22" s="321" t="s">
        <v>1612</v>
      </c>
    </row>
    <row r="26" spans="1:6" ht="18" x14ac:dyDescent="0.25">
      <c r="A26" s="323" t="s">
        <v>186</v>
      </c>
    </row>
    <row r="27" spans="1:6" ht="15" x14ac:dyDescent="0.2">
      <c r="A27" s="321" t="s">
        <v>1601</v>
      </c>
      <c r="B27" s="324">
        <f>'DOE25'!G180</f>
        <v>86336.34</v>
      </c>
      <c r="F27" s="321" t="s">
        <v>1613</v>
      </c>
    </row>
    <row r="28" spans="1:6" ht="15" x14ac:dyDescent="0.2">
      <c r="A28" s="321" t="s">
        <v>1603</v>
      </c>
      <c r="B28" s="324">
        <f>'DOE25'!L362</f>
        <v>0</v>
      </c>
      <c r="F28" s="321" t="s">
        <v>1614</v>
      </c>
    </row>
    <row r="31" spans="1:6" ht="15" x14ac:dyDescent="0.2">
      <c r="A31" s="321" t="s">
        <v>1640</v>
      </c>
      <c r="B31" s="324">
        <f>'DOE25'!G466</f>
        <v>309.98</v>
      </c>
      <c r="F31" s="321" t="s">
        <v>1615</v>
      </c>
    </row>
    <row r="33" spans="1:6" ht="15" x14ac:dyDescent="0.2">
      <c r="A33" s="321" t="s">
        <v>1641</v>
      </c>
      <c r="B33" s="324">
        <f>'DOE25'!G477</f>
        <v>0</v>
      </c>
      <c r="F33" s="321" t="s">
        <v>1616</v>
      </c>
    </row>
    <row r="36" spans="1:6" ht="15" x14ac:dyDescent="0.2">
      <c r="A36" s="321" t="s">
        <v>1602</v>
      </c>
      <c r="B36" s="339">
        <v>5086.5200000000004</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zoomScale="130" zoomScaleNormal="130"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Alton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2464328.79</v>
      </c>
      <c r="C9" s="229">
        <f>'DOE25'!G198+'DOE25'!G216+'DOE25'!G234+'DOE25'!G277+'DOE25'!G296+'DOE25'!G315</f>
        <v>1295625.55</v>
      </c>
    </row>
    <row r="10" spans="1:3" x14ac:dyDescent="0.2">
      <c r="A10" t="s">
        <v>775</v>
      </c>
      <c r="B10" s="240">
        <v>2069928.8</v>
      </c>
      <c r="C10" s="240">
        <v>1078339.1000000001</v>
      </c>
    </row>
    <row r="11" spans="1:3" x14ac:dyDescent="0.2">
      <c r="A11" t="s">
        <v>776</v>
      </c>
      <c r="B11" s="240">
        <v>288548.71999999997</v>
      </c>
      <c r="C11" s="240">
        <v>161581.81</v>
      </c>
    </row>
    <row r="12" spans="1:3" x14ac:dyDescent="0.2">
      <c r="A12" t="s">
        <v>777</v>
      </c>
      <c r="B12" s="240">
        <v>105851.27</v>
      </c>
      <c r="C12" s="240">
        <v>55704.639999999999</v>
      </c>
    </row>
    <row r="13" spans="1:3" x14ac:dyDescent="0.2">
      <c r="A13" t="str">
        <f>IF(B9=B13,IF(C9=C13,"Check Total OK","Check Total Error"),"Check Total Error")</f>
        <v>Check Total OK</v>
      </c>
      <c r="B13" s="231">
        <f>SUM(B10:B12)</f>
        <v>2464328.79</v>
      </c>
      <c r="C13" s="231">
        <f>SUM(C10:C12)</f>
        <v>1295625.55</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999655.27</v>
      </c>
      <c r="C18" s="229">
        <f>'DOE25'!G199+'DOE25'!G217+'DOE25'!G235+'DOE25'!G278+'DOE25'!G297+'DOE25'!G316</f>
        <v>628153.15</v>
      </c>
    </row>
    <row r="19" spans="1:3" x14ac:dyDescent="0.2">
      <c r="A19" t="s">
        <v>775</v>
      </c>
      <c r="B19" s="240">
        <v>610338.71</v>
      </c>
      <c r="C19" s="240">
        <v>383518.39</v>
      </c>
    </row>
    <row r="20" spans="1:3" x14ac:dyDescent="0.2">
      <c r="A20" t="s">
        <v>776</v>
      </c>
      <c r="B20" s="240">
        <f>385966.91+3253.56</f>
        <v>389220.47</v>
      </c>
      <c r="C20" s="240">
        <v>244627.41</v>
      </c>
    </row>
    <row r="21" spans="1:3" x14ac:dyDescent="0.2">
      <c r="A21" t="s">
        <v>777</v>
      </c>
      <c r="B21" s="240">
        <v>96.09</v>
      </c>
      <c r="C21" s="240">
        <v>7.35</v>
      </c>
    </row>
    <row r="22" spans="1:3" x14ac:dyDescent="0.2">
      <c r="A22" t="str">
        <f>IF(B18=B22,IF(C18=C22,"Check Total OK","Check Total Error"),"Check Total Error")</f>
        <v>Check Total OK</v>
      </c>
      <c r="B22" s="231">
        <f>SUM(B19:B21)</f>
        <v>999655.2699999999</v>
      </c>
      <c r="C22" s="231">
        <f>SUM(C19:C21)</f>
        <v>628153.15</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30168.23</v>
      </c>
      <c r="C36" s="235">
        <f>'DOE25'!G201+'DOE25'!G219+'DOE25'!G237+'DOE25'!G280+'DOE25'!G299+'DOE25'!G318</f>
        <v>6285.3</v>
      </c>
    </row>
    <row r="37" spans="1:3" x14ac:dyDescent="0.2">
      <c r="A37" t="s">
        <v>775</v>
      </c>
      <c r="B37" s="240">
        <v>0</v>
      </c>
      <c r="C37" s="240">
        <v>0</v>
      </c>
    </row>
    <row r="38" spans="1:3" x14ac:dyDescent="0.2">
      <c r="A38" t="s">
        <v>776</v>
      </c>
      <c r="B38" s="240">
        <v>0</v>
      </c>
      <c r="C38" s="240">
        <v>0</v>
      </c>
    </row>
    <row r="39" spans="1:3" x14ac:dyDescent="0.2">
      <c r="A39" t="s">
        <v>777</v>
      </c>
      <c r="B39" s="240">
        <v>30168.23</v>
      </c>
      <c r="C39" s="240">
        <v>6285.3</v>
      </c>
    </row>
    <row r="40" spans="1:3" x14ac:dyDescent="0.2">
      <c r="A40" t="str">
        <f>IF(B36=B40,IF(C36=C40,"Check Total OK","Check Total Error"),"Check Total Error")</f>
        <v>Check Total OK</v>
      </c>
      <c r="B40" s="231">
        <f>SUM(B37:B39)</f>
        <v>30168.23</v>
      </c>
      <c r="C40" s="231">
        <f>SUM(C37:C39)</f>
        <v>6285.3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B14" sqref="B1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Alton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10841211.76</v>
      </c>
      <c r="D5" s="20">
        <f>SUM('DOE25'!L198:L201)+SUM('DOE25'!L216:L219)+SUM('DOE25'!L234:L237)-F5-G5-H5</f>
        <v>10725320.83</v>
      </c>
      <c r="E5" s="243"/>
      <c r="F5" s="244">
        <v>0</v>
      </c>
      <c r="G5" s="53">
        <f>SUM('DOE25'!J198:J201)+SUM('DOE25'!J216:J219)+SUM('DOE25'!J234:J237)</f>
        <v>104765.11</v>
      </c>
      <c r="H5" s="53">
        <f>SUM('DOE25'!K198:K201)+SUM('DOE25'!K216:K219)+SUM('DOE25'!K234:K237)</f>
        <v>11125.82</v>
      </c>
      <c r="I5" s="256"/>
    </row>
    <row r="6" spans="1:9" x14ac:dyDescent="0.2">
      <c r="A6" s="32">
        <v>2100</v>
      </c>
      <c r="B6" t="s">
        <v>796</v>
      </c>
      <c r="C6" s="276">
        <f t="shared" si="0"/>
        <v>477019.84000000008</v>
      </c>
      <c r="D6" s="20">
        <f>'DOE25'!L203+'DOE25'!L221+'DOE25'!L239-F6-G6-H6</f>
        <v>402039.25000000006</v>
      </c>
      <c r="E6" s="243"/>
      <c r="F6" s="244">
        <v>74641.25</v>
      </c>
      <c r="G6" s="53">
        <f>'DOE25'!J203+'DOE25'!J221+'DOE25'!J239</f>
        <v>294.33999999999997</v>
      </c>
      <c r="H6" s="53">
        <f>'DOE25'!K203+'DOE25'!K221+'DOE25'!K239</f>
        <v>45</v>
      </c>
      <c r="I6" s="256"/>
    </row>
    <row r="7" spans="1:9" x14ac:dyDescent="0.2">
      <c r="A7" s="32">
        <v>2200</v>
      </c>
      <c r="B7" t="s">
        <v>821</v>
      </c>
      <c r="C7" s="276">
        <f t="shared" si="0"/>
        <v>154027.14000000001</v>
      </c>
      <c r="D7" s="20">
        <f>'DOE25'!L204+'DOE25'!L222+'DOE25'!L240-F7-G7-H7</f>
        <v>153202.14000000001</v>
      </c>
      <c r="E7" s="243"/>
      <c r="F7" s="244">
        <v>0</v>
      </c>
      <c r="G7" s="53">
        <f>'DOE25'!J204+'DOE25'!J222+'DOE25'!J240</f>
        <v>0</v>
      </c>
      <c r="H7" s="53">
        <f>'DOE25'!K204+'DOE25'!K222+'DOE25'!K240</f>
        <v>825</v>
      </c>
      <c r="I7" s="256"/>
    </row>
    <row r="8" spans="1:9" x14ac:dyDescent="0.2">
      <c r="A8" s="32">
        <v>2300</v>
      </c>
      <c r="B8" t="s">
        <v>797</v>
      </c>
      <c r="C8" s="276">
        <f t="shared" si="0"/>
        <v>29448.029999999995</v>
      </c>
      <c r="D8" s="243"/>
      <c r="E8" s="20">
        <f>'DOE25'!L205+'DOE25'!L223+'DOE25'!L241-F8-G8-H8-D9-D11</f>
        <v>21324.869999999995</v>
      </c>
      <c r="F8" s="244">
        <v>0</v>
      </c>
      <c r="G8" s="53">
        <f>'DOE25'!J205+'DOE25'!J223+'DOE25'!J241</f>
        <v>2029.89</v>
      </c>
      <c r="H8" s="53">
        <f>'DOE25'!K205+'DOE25'!K223+'DOE25'!K241</f>
        <v>6093.27</v>
      </c>
      <c r="I8" s="256"/>
    </row>
    <row r="9" spans="1:9" ht="14.25" x14ac:dyDescent="0.2">
      <c r="A9" s="32">
        <v>2310</v>
      </c>
      <c r="B9" s="185" t="s">
        <v>890</v>
      </c>
      <c r="C9" s="276">
        <f t="shared" si="0"/>
        <v>42166.13</v>
      </c>
      <c r="D9" s="244">
        <v>42166.13</v>
      </c>
      <c r="E9" s="243"/>
      <c r="F9" s="253"/>
      <c r="G9" s="253"/>
      <c r="H9" s="253"/>
      <c r="I9" s="256"/>
    </row>
    <row r="10" spans="1:9" ht="14.25" x14ac:dyDescent="0.2">
      <c r="A10" s="32">
        <v>2317</v>
      </c>
      <c r="B10" s="185" t="s">
        <v>891</v>
      </c>
      <c r="C10" s="276">
        <f t="shared" si="0"/>
        <v>11322</v>
      </c>
      <c r="D10" s="243"/>
      <c r="E10" s="244">
        <v>11322</v>
      </c>
      <c r="F10" s="253"/>
      <c r="G10" s="253"/>
      <c r="H10" s="253"/>
      <c r="I10" s="256"/>
    </row>
    <row r="11" spans="1:9" ht="14.25" x14ac:dyDescent="0.2">
      <c r="A11" s="32">
        <v>2321</v>
      </c>
      <c r="B11" s="185" t="s">
        <v>892</v>
      </c>
      <c r="C11" s="276">
        <f t="shared" si="0"/>
        <v>268096.52</v>
      </c>
      <c r="D11" s="244">
        <v>268096.52</v>
      </c>
      <c r="E11" s="243"/>
      <c r="F11" s="253"/>
      <c r="G11" s="253"/>
      <c r="H11" s="253"/>
      <c r="I11" s="256"/>
    </row>
    <row r="12" spans="1:9" x14ac:dyDescent="0.2">
      <c r="A12" s="32">
        <v>2400</v>
      </c>
      <c r="B12" t="s">
        <v>711</v>
      </c>
      <c r="C12" s="276">
        <f t="shared" si="0"/>
        <v>417542.65</v>
      </c>
      <c r="D12" s="20">
        <f>'DOE25'!L206+'DOE25'!L224+'DOE25'!L242-F12-G12-H12</f>
        <v>413553.12</v>
      </c>
      <c r="E12" s="243"/>
      <c r="F12" s="244">
        <v>0</v>
      </c>
      <c r="G12" s="53">
        <f>'DOE25'!J206+'DOE25'!J224+'DOE25'!J242</f>
        <v>2834.53</v>
      </c>
      <c r="H12" s="53">
        <f>'DOE25'!K206+'DOE25'!K224+'DOE25'!K242</f>
        <v>1155</v>
      </c>
      <c r="I12" s="256"/>
    </row>
    <row r="13" spans="1:9" x14ac:dyDescent="0.2">
      <c r="A13" s="32">
        <v>2500</v>
      </c>
      <c r="B13" t="s">
        <v>798</v>
      </c>
      <c r="C13" s="276">
        <f t="shared" si="0"/>
        <v>89938.9</v>
      </c>
      <c r="D13" s="243"/>
      <c r="E13" s="20">
        <f>'DOE25'!L207+'DOE25'!L225+'DOE25'!L243-F13-G13-H13</f>
        <v>88907.43</v>
      </c>
      <c r="F13" s="244">
        <v>0</v>
      </c>
      <c r="G13" s="53">
        <f>'DOE25'!J207+'DOE25'!J225+'DOE25'!J243</f>
        <v>628.99</v>
      </c>
      <c r="H13" s="53">
        <f>'DOE25'!K207+'DOE25'!K225+'DOE25'!K243</f>
        <v>402.48</v>
      </c>
      <c r="I13" s="256"/>
    </row>
    <row r="14" spans="1:9" x14ac:dyDescent="0.2">
      <c r="A14" s="32">
        <v>2600</v>
      </c>
      <c r="B14" t="s">
        <v>819</v>
      </c>
      <c r="C14" s="276">
        <f t="shared" si="0"/>
        <v>1183997.8800000001</v>
      </c>
      <c r="D14" s="20">
        <f>'DOE25'!L208+'DOE25'!L226+'DOE25'!L244-F14-G14-H14</f>
        <v>1134382.03</v>
      </c>
      <c r="E14" s="243"/>
      <c r="F14" s="244">
        <v>0</v>
      </c>
      <c r="G14" s="53">
        <f>'DOE25'!J208+'DOE25'!J226+'DOE25'!J244</f>
        <v>49515.85</v>
      </c>
      <c r="H14" s="53">
        <f>'DOE25'!K208+'DOE25'!K226+'DOE25'!K244</f>
        <v>100</v>
      </c>
      <c r="I14" s="256"/>
    </row>
    <row r="15" spans="1:9" x14ac:dyDescent="0.2">
      <c r="A15" s="32">
        <v>2700</v>
      </c>
      <c r="B15" t="s">
        <v>799</v>
      </c>
      <c r="C15" s="276">
        <f t="shared" si="0"/>
        <v>589699.05999999994</v>
      </c>
      <c r="D15" s="20">
        <f>'DOE25'!L209+'DOE25'!L227+'DOE25'!L245-F15-G15-H15</f>
        <v>75972.709999999963</v>
      </c>
      <c r="E15" s="243"/>
      <c r="F15" s="244">
        <v>513726.35</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v>0</v>
      </c>
      <c r="G16" s="53">
        <f>'DOE25'!J210+'DOE25'!J228+'DOE25'!J246</f>
        <v>0</v>
      </c>
      <c r="H16" s="53">
        <f>'DOE25'!K210+'DOE25'!K228+'DOE25'!K246</f>
        <v>0</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7424</v>
      </c>
      <c r="D22" s="243"/>
      <c r="E22" s="243"/>
      <c r="F22" s="243"/>
      <c r="G22" s="53">
        <f>'DOE25'!L256+'DOE25'!L337</f>
        <v>7424</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722977.5</v>
      </c>
      <c r="D25" s="243"/>
      <c r="E25" s="243"/>
      <c r="F25" s="255"/>
      <c r="G25" s="253"/>
      <c r="H25" s="253"/>
      <c r="I25" s="254">
        <f>'DOE25'!L261+'DOE25'!L262+'DOE25'!L342+'DOE25'!L343</f>
        <v>722977.5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136441.38</v>
      </c>
      <c r="D29" s="284">
        <f>'DOE25'!L359+'DOE25'!L360+'DOE25'!L361-'DOE25'!I368-F29-G29-H29</f>
        <v>135599.66999999998</v>
      </c>
      <c r="E29" s="243"/>
      <c r="F29" s="244">
        <v>0</v>
      </c>
      <c r="G29" s="53">
        <f>'DOE25'!J359+'DOE25'!J360+'DOE25'!J361</f>
        <v>162.76</v>
      </c>
      <c r="H29" s="53">
        <f>'DOE25'!K359+'DOE25'!K360+'DOE25'!K361</f>
        <v>678.95</v>
      </c>
      <c r="I29" s="256"/>
    </row>
    <row r="30" spans="1:9" x14ac:dyDescent="0.2">
      <c r="A30" s="32"/>
      <c r="C30" s="277"/>
      <c r="D30" s="20"/>
      <c r="E30" s="281"/>
      <c r="F30" s="271"/>
      <c r="G30" s="53"/>
      <c r="H30" s="53"/>
      <c r="I30" s="256"/>
    </row>
    <row r="31" spans="1:9" x14ac:dyDescent="0.2">
      <c r="A31" s="32" t="s">
        <v>818</v>
      </c>
      <c r="B31" t="s">
        <v>817</v>
      </c>
      <c r="C31" s="276">
        <f>SUM(D31:I31)</f>
        <v>317679.45999999996</v>
      </c>
      <c r="D31" s="20">
        <f>'DOE25'!L291+'DOE25'!L310+'DOE25'!L329+'DOE25'!L334+'DOE25'!L335+'DOE25'!L336-F31-G31-H31</f>
        <v>248762.54999999996</v>
      </c>
      <c r="E31" s="243"/>
      <c r="F31" s="244">
        <v>8000</v>
      </c>
      <c r="G31" s="53">
        <f>'DOE25'!J291+'DOE25'!J310+'DOE25'!J329+'DOE25'!J334+'DOE25'!J335+'DOE25'!J336</f>
        <v>56366.91</v>
      </c>
      <c r="H31" s="53">
        <f>'DOE25'!K291+'DOE25'!K310+'DOE25'!K329+'DOE25'!K334+'DOE25'!K335+'DOE25'!K336</f>
        <v>4550</v>
      </c>
      <c r="I31" s="256"/>
    </row>
    <row r="32" spans="1:9" ht="12" thickBot="1" x14ac:dyDescent="0.25">
      <c r="C32" s="277"/>
      <c r="G32" s="251"/>
      <c r="H32" s="251"/>
      <c r="I32" s="258"/>
    </row>
    <row r="33" spans="1:9" ht="12" thickTop="1" x14ac:dyDescent="0.2">
      <c r="B33" t="s">
        <v>809</v>
      </c>
      <c r="D33" s="245">
        <f t="shared" ref="D33:I33" si="1">SUM(D5:D31)</f>
        <v>13599094.950000001</v>
      </c>
      <c r="E33" s="245">
        <f t="shared" si="1"/>
        <v>121554.29999999999</v>
      </c>
      <c r="F33" s="245">
        <f t="shared" si="1"/>
        <v>596367.6</v>
      </c>
      <c r="G33" s="245">
        <f t="shared" si="1"/>
        <v>224022.38</v>
      </c>
      <c r="H33" s="245">
        <f t="shared" si="1"/>
        <v>24975.52</v>
      </c>
      <c r="I33" s="245">
        <f t="shared" si="1"/>
        <v>722977.5</v>
      </c>
    </row>
    <row r="35" spans="1:9" ht="12" thickBot="1" x14ac:dyDescent="0.25">
      <c r="B35" s="251" t="s">
        <v>831</v>
      </c>
      <c r="D35" s="252">
        <f>E33</f>
        <v>121554.29999999999</v>
      </c>
      <c r="E35" s="248"/>
    </row>
    <row r="36" spans="1:9" ht="12" thickTop="1" x14ac:dyDescent="0.2">
      <c r="B36" t="s">
        <v>810</v>
      </c>
      <c r="D36" s="20">
        <f>D33</f>
        <v>13599094.950000001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43" sqref="A4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Alton School District</v>
      </c>
      <c r="B2" s="126">
        <f>'DOE25'!B2</f>
        <v>15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9535893.370000001</v>
      </c>
      <c r="G4" s="303">
        <f>'DOE25'!L212+'DOE25'!L291</f>
        <v>9535893.370000001</v>
      </c>
      <c r="H4" s="337">
        <f>F4-G4</f>
        <v>0</v>
      </c>
      <c r="I4" s="309" t="str">
        <f>IF(H4=0,"","Does not match DOE25 page 7 and 11 Totals!!")</f>
        <v/>
      </c>
      <c r="N4"/>
    </row>
    <row r="5" spans="1:18" x14ac:dyDescent="0.2">
      <c r="A5" s="21" t="s">
        <v>918</v>
      </c>
      <c r="B5" s="304">
        <f>IFERROR(VLOOKUP(A5,'School Tables'!$C$3:$D$365,2,FALSE),"")</f>
        <v>22480</v>
      </c>
      <c r="C5" s="297" t="str">
        <f>IFERROR(INDEX('School Tables'!$B$3:$B$365,MATCH('School Level Expenditures'!B5,'School Tables'!$D$3:$D$365,0)),"")</f>
        <v>Alton</v>
      </c>
      <c r="D5" s="294">
        <v>9218213.9100000001</v>
      </c>
      <c r="E5" s="294">
        <v>317679.46000000002</v>
      </c>
      <c r="F5" s="312">
        <f>D5+E5</f>
        <v>9535893.370000001</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4874934</v>
      </c>
      <c r="G36" s="303">
        <f>'DOE25'!L248+'DOE25'!L329</f>
        <v>4874934</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4874934</v>
      </c>
      <c r="E37" s="294">
        <v>0</v>
      </c>
      <c r="F37" s="307">
        <f>D37+E37</f>
        <v>4874934</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Alton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647765.63</v>
      </c>
      <c r="D8" s="95">
        <f>'DOE25'!G9</f>
        <v>112</v>
      </c>
      <c r="E8" s="95">
        <f>'DOE25'!H9</f>
        <v>0</v>
      </c>
      <c r="F8" s="95">
        <f>'DOE25'!I9</f>
        <v>0</v>
      </c>
      <c r="G8" s="95">
        <f>'DOE25'!J9</f>
        <v>0</v>
      </c>
      <c r="H8" s="124"/>
      <c r="I8" s="124"/>
    </row>
    <row r="9" spans="1:9" x14ac:dyDescent="0.2">
      <c r="A9" s="1" t="s">
        <v>140</v>
      </c>
      <c r="B9" s="6">
        <v>110</v>
      </c>
      <c r="C9" s="95">
        <f>'DOE25'!F10</f>
        <v>0</v>
      </c>
      <c r="D9" s="95">
        <f>'DOE25'!G10</f>
        <v>192919.59000000003</v>
      </c>
      <c r="E9" s="95">
        <f>'DOE25'!H10</f>
        <v>0</v>
      </c>
      <c r="F9" s="95">
        <f>'DOE25'!I10</f>
        <v>0</v>
      </c>
      <c r="G9" s="95">
        <f>'DOE25'!J10</f>
        <v>1175875.75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-3369.24</v>
      </c>
      <c r="D12" s="95">
        <f>'DOE25'!G13</f>
        <v>10278</v>
      </c>
      <c r="E12" s="95">
        <f>'DOE25'!H13</f>
        <v>42737.2</v>
      </c>
      <c r="F12" s="95">
        <f>'DOE25'!I13</f>
        <v>0</v>
      </c>
      <c r="G12" s="95">
        <f>'DOE25'!J13</f>
        <v>0</v>
      </c>
      <c r="H12" s="124"/>
      <c r="I12" s="124"/>
    </row>
    <row r="13" spans="1:9" x14ac:dyDescent="0.2">
      <c r="A13" s="1" t="s">
        <v>144</v>
      </c>
      <c r="B13" s="6">
        <v>150</v>
      </c>
      <c r="C13" s="95">
        <f>'DOE25'!F14</f>
        <v>14867.16</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659263.55000000005</v>
      </c>
      <c r="D18" s="41">
        <f>SUM(D8:D17)</f>
        <v>203309.59000000003</v>
      </c>
      <c r="E18" s="41">
        <f>SUM(E8:E17)</f>
        <v>42737.2</v>
      </c>
      <c r="F18" s="41">
        <f>SUM(F8:F17)</f>
        <v>0</v>
      </c>
      <c r="G18" s="41">
        <f>SUM(G8:G17)</f>
        <v>1175875.75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200803.91</v>
      </c>
      <c r="E22" s="95">
        <f>'DOE25'!H23</f>
        <v>38116.39</v>
      </c>
      <c r="F22" s="95">
        <f>'DOE25'!I23</f>
        <v>0</v>
      </c>
      <c r="G22" s="95">
        <f>'DOE25'!J23</f>
        <v>0</v>
      </c>
      <c r="H22" s="124"/>
      <c r="I22" s="124"/>
    </row>
    <row r="23" spans="1:9" x14ac:dyDescent="0.2">
      <c r="A23" s="1" t="s">
        <v>152</v>
      </c>
      <c r="B23" s="6">
        <v>420</v>
      </c>
      <c r="C23" s="95">
        <f>'DOE25'!F24</f>
        <v>522777.59999999998</v>
      </c>
      <c r="D23" s="95">
        <f>'DOE25'!G24</f>
        <v>4428.66</v>
      </c>
      <c r="E23" s="95">
        <f>'DOE25'!H24</f>
        <v>3995.74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-360835.88</v>
      </c>
      <c r="D27" s="95">
        <f>'DOE25'!G28</f>
        <v>-1922.98</v>
      </c>
      <c r="E27" s="95">
        <f>'DOE25'!H28</f>
        <v>0.06</v>
      </c>
      <c r="F27" s="95">
        <f>'DOE25'!I28</f>
        <v>0</v>
      </c>
      <c r="G27" s="24" t="s">
        <v>288</v>
      </c>
      <c r="H27" s="124"/>
      <c r="I27" s="124"/>
    </row>
    <row r="28" spans="1:9" x14ac:dyDescent="0.2">
      <c r="A28" s="1" t="s">
        <v>157</v>
      </c>
      <c r="B28" s="6">
        <v>470</v>
      </c>
      <c r="C28" s="95">
        <f>'DOE25'!F29</f>
        <v>186586.71</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625.01</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348528.42999999993</v>
      </c>
      <c r="D31" s="41">
        <f>SUM(D21:D30)</f>
        <v>203309.59</v>
      </c>
      <c r="E31" s="41">
        <f>SUM(E21:E30)</f>
        <v>42737.2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1175875.75</v>
      </c>
      <c r="H47" s="124"/>
      <c r="I47" s="124"/>
    </row>
    <row r="48" spans="1:9" x14ac:dyDescent="0.2">
      <c r="A48" s="1" t="s">
        <v>882</v>
      </c>
      <c r="B48" s="6">
        <v>753</v>
      </c>
      <c r="C48" s="95">
        <f>'DOE25'!F49</f>
        <v>35500</v>
      </c>
      <c r="D48" s="95">
        <f>'DOE25'!G49</f>
        <v>0</v>
      </c>
      <c r="E48" s="95">
        <f>'DOE25'!H49</f>
        <v>0</v>
      </c>
      <c r="F48" s="95">
        <f>'DOE25'!I49</f>
        <v>0</v>
      </c>
      <c r="G48" s="95">
        <f>'DOE25'!J49</f>
        <v>0</v>
      </c>
      <c r="H48" s="124"/>
      <c r="I48" s="124"/>
    </row>
    <row r="49" spans="1:9" ht="12" thickBot="1" x14ac:dyDescent="0.25">
      <c r="A49" s="29" t="s">
        <v>883</v>
      </c>
      <c r="B49" s="71">
        <v>770</v>
      </c>
      <c r="C49" s="95">
        <f>'DOE25'!F50</f>
        <v>75235.12</v>
      </c>
      <c r="D49" s="24" t="s">
        <v>288</v>
      </c>
      <c r="E49" s="24" t="s">
        <v>288</v>
      </c>
      <c r="F49" s="24" t="s">
        <v>288</v>
      </c>
      <c r="G49" s="24" t="s">
        <v>288</v>
      </c>
      <c r="H49" s="124"/>
      <c r="I49" s="124"/>
    </row>
    <row r="50" spans="1:9" ht="12.75" thickTop="1" thickBot="1" x14ac:dyDescent="0.25">
      <c r="A50" s="38" t="s">
        <v>884</v>
      </c>
      <c r="B50" s="48"/>
      <c r="C50" s="41">
        <f>SUM(C34:C49)</f>
        <v>310735.12</v>
      </c>
      <c r="D50" s="41">
        <f>SUM(D34:D49)</f>
        <v>0</v>
      </c>
      <c r="E50" s="41">
        <f>SUM(E34:E49)</f>
        <v>0</v>
      </c>
      <c r="F50" s="41">
        <f>SUM(F34:F49)</f>
        <v>0</v>
      </c>
      <c r="G50" s="41">
        <f>SUM(G34:G49)</f>
        <v>1175875.75</v>
      </c>
      <c r="H50" s="124"/>
      <c r="I50" s="124"/>
    </row>
    <row r="51" spans="1:9" ht="12" thickTop="1" x14ac:dyDescent="0.2">
      <c r="A51" s="38" t="s">
        <v>885</v>
      </c>
      <c r="B51" s="2"/>
      <c r="C51" s="41">
        <f>C50+C31</f>
        <v>659263.54999999993</v>
      </c>
      <c r="D51" s="41">
        <f>D50+D31</f>
        <v>203309.59</v>
      </c>
      <c r="E51" s="41">
        <f>E50+E31</f>
        <v>42737.2</v>
      </c>
      <c r="F51" s="41">
        <f>F50+F31</f>
        <v>0</v>
      </c>
      <c r="G51" s="41">
        <f>G50+G31</f>
        <v>1175875.75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10412178</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629.6</v>
      </c>
      <c r="D59" s="95">
        <f>'DOE25'!G96</f>
        <v>658.63</v>
      </c>
      <c r="E59" s="95">
        <f>'DOE25'!H96</f>
        <v>0</v>
      </c>
      <c r="F59" s="95">
        <f>'DOE25'!I96</f>
        <v>0</v>
      </c>
      <c r="G59" s="95">
        <f>'DOE25'!J96</f>
        <v>11603.93</v>
      </c>
      <c r="H59"/>
      <c r="I59"/>
    </row>
    <row r="60" spans="1:9" x14ac:dyDescent="0.2">
      <c r="A60" s="1" t="s">
        <v>170</v>
      </c>
      <c r="B60" s="118" t="s">
        <v>171</v>
      </c>
      <c r="C60" s="24" t="s">
        <v>288</v>
      </c>
      <c r="D60" s="95">
        <f>'DOE25'!G97</f>
        <v>45753.1</v>
      </c>
      <c r="E60" s="24" t="s">
        <v>288</v>
      </c>
      <c r="F60" s="24" t="s">
        <v>288</v>
      </c>
      <c r="G60" s="24" t="s">
        <v>288</v>
      </c>
      <c r="H60"/>
      <c r="I60"/>
    </row>
    <row r="61" spans="1:9" ht="12" thickBot="1" x14ac:dyDescent="0.25">
      <c r="A61" s="1" t="s">
        <v>172</v>
      </c>
      <c r="B61" s="118" t="s">
        <v>173</v>
      </c>
      <c r="C61" s="95">
        <f>SUM('DOE25'!F98:F110)</f>
        <v>226844.26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227473.86000000002</v>
      </c>
      <c r="D62" s="130">
        <f>SUM(D57:D61)</f>
        <v>46411.729999999996</v>
      </c>
      <c r="E62" s="130">
        <f>SUM(E57:E61)</f>
        <v>0</v>
      </c>
      <c r="F62" s="130">
        <f>SUM(F57:F61)</f>
        <v>0</v>
      </c>
      <c r="G62" s="130">
        <f>SUM(G57:G61)</f>
        <v>11603.93</v>
      </c>
      <c r="H62"/>
      <c r="I62"/>
    </row>
    <row r="63" spans="1:9" ht="12" thickTop="1" x14ac:dyDescent="0.2">
      <c r="A63" s="29" t="s">
        <v>175</v>
      </c>
      <c r="B63" s="6"/>
      <c r="C63" s="22">
        <f>C56+C62</f>
        <v>10639651.859999999</v>
      </c>
      <c r="D63" s="22">
        <f>D56+D62</f>
        <v>46411.729999999996</v>
      </c>
      <c r="E63" s="22">
        <f>E56+E62</f>
        <v>0</v>
      </c>
      <c r="F63" s="22">
        <f>F56+F62</f>
        <v>0</v>
      </c>
      <c r="G63" s="22">
        <f>G56+G62</f>
        <v>11603.93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3599626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3599626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8388</v>
      </c>
      <c r="D74" s="24"/>
      <c r="E74" s="24"/>
      <c r="F74" s="24"/>
      <c r="G74" s="24"/>
      <c r="H74"/>
      <c r="I74"/>
    </row>
    <row r="75" spans="1:9" x14ac:dyDescent="0.2">
      <c r="A75" s="1" t="s">
        <v>256</v>
      </c>
      <c r="B75" s="6">
        <v>3230</v>
      </c>
      <c r="C75" s="95">
        <f>'DOE25'!F126</f>
        <v>57720.72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394.59</v>
      </c>
      <c r="E77" s="95">
        <f>SUM('DOE25'!H131:H135)</f>
        <v>0</v>
      </c>
      <c r="F77" s="95">
        <f>SUM('DOE25'!I131:I135)</f>
        <v>0</v>
      </c>
      <c r="G77" s="95">
        <f>SUM('DOE25'!J131:J135)</f>
        <v>0</v>
      </c>
      <c r="H77"/>
      <c r="I77"/>
    </row>
    <row r="78" spans="1:9" ht="12.75" thickTop="1" thickBot="1" x14ac:dyDescent="0.25">
      <c r="A78" s="29" t="s">
        <v>259</v>
      </c>
      <c r="B78" s="6"/>
      <c r="C78" s="130">
        <f>SUM(C72:C77)</f>
        <v>66108.72</v>
      </c>
      <c r="D78" s="130">
        <f>SUM(D72:D77)</f>
        <v>394.59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3665734.72</v>
      </c>
      <c r="D81" s="130">
        <f>SUM(D79:D80)+D78+D70</f>
        <v>394.59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2242.41</v>
      </c>
      <c r="D88" s="341">
        <f>SUM('DOE25'!G153:G162)</f>
        <v>55643.11</v>
      </c>
      <c r="E88" s="341">
        <f>SUM('DOE25'!H153:H162)</f>
        <v>317679.45999999996</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2242.41</v>
      </c>
      <c r="D91" s="131">
        <f>SUM(D85:D90)</f>
        <v>55643.11</v>
      </c>
      <c r="E91" s="131">
        <f>SUM(E85:E90)</f>
        <v>317679.45999999996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86336.34</v>
      </c>
      <c r="E96" s="95">
        <f>'DOE25'!H180</f>
        <v>0</v>
      </c>
      <c r="F96" s="95">
        <f>'DOE25'!I180</f>
        <v>0</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86336.34</v>
      </c>
      <c r="E103" s="86">
        <f>SUM(E93:E102)</f>
        <v>0</v>
      </c>
      <c r="F103" s="86">
        <f>SUM(F93:F102)</f>
        <v>0</v>
      </c>
      <c r="G103" s="86">
        <f>SUM(G93:G102)</f>
        <v>100000</v>
      </c>
    </row>
    <row r="104" spans="1:7" ht="12.75" thickTop="1" thickBot="1" x14ac:dyDescent="0.25">
      <c r="A104" s="33" t="s">
        <v>761</v>
      </c>
      <c r="C104" s="86">
        <f>C63+C81+C91+C103</f>
        <v>14307628.99</v>
      </c>
      <c r="D104" s="86">
        <f>D63+D81+D91+D103</f>
        <v>188785.77</v>
      </c>
      <c r="E104" s="86">
        <f>E63+E81+E91+E103</f>
        <v>317679.45999999996</v>
      </c>
      <c r="F104" s="86">
        <f>F63+F81+F91+F103</f>
        <v>0</v>
      </c>
      <c r="G104" s="86">
        <f>G63+G81+G103</f>
        <v>111603.93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8425901.9800000004</v>
      </c>
      <c r="D109" s="24" t="s">
        <v>288</v>
      </c>
      <c r="E109" s="95">
        <f>('DOE25'!L277)+('DOE25'!L296)+('DOE25'!L315)</f>
        <v>137615.24</v>
      </c>
      <c r="F109" s="24" t="s">
        <v>288</v>
      </c>
      <c r="G109" s="24" t="s">
        <v>288</v>
      </c>
    </row>
    <row r="110" spans="1:7" x14ac:dyDescent="0.2">
      <c r="A110" t="s">
        <v>198</v>
      </c>
      <c r="B110" s="32" t="s">
        <v>199</v>
      </c>
      <c r="C110" s="95">
        <f>('DOE25'!L199)+('DOE25'!L217)+('DOE25'!L235)</f>
        <v>2349315.8499999996</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65993.929999999993</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10841211.76</v>
      </c>
      <c r="D115" s="86">
        <f>SUM(D109:D114)</f>
        <v>0</v>
      </c>
      <c r="E115" s="86">
        <f>SUM(E109:E114)</f>
        <v>137615.24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477019.84000000008</v>
      </c>
      <c r="D118" s="24" t="s">
        <v>288</v>
      </c>
      <c r="E118" s="95">
        <f>+('DOE25'!L282)+('DOE25'!L301)+('DOE25'!L320)</f>
        <v>96003.67</v>
      </c>
      <c r="F118" s="24" t="s">
        <v>288</v>
      </c>
      <c r="G118" s="24" t="s">
        <v>288</v>
      </c>
    </row>
    <row r="119" spans="1:7" x14ac:dyDescent="0.2">
      <c r="A119" t="s">
        <v>208</v>
      </c>
      <c r="B119" s="32" t="s">
        <v>209</v>
      </c>
      <c r="C119" s="95">
        <f>('DOE25'!L204)+('DOE25'!L222)+('DOE25'!L240)</f>
        <v>154027.14000000001</v>
      </c>
      <c r="D119" s="24" t="s">
        <v>288</v>
      </c>
      <c r="E119" s="95">
        <f>+('DOE25'!L283)+('DOE25'!L302)+('DOE25'!L321)</f>
        <v>76381.929999999993</v>
      </c>
      <c r="F119" s="24" t="s">
        <v>288</v>
      </c>
      <c r="G119" s="24" t="s">
        <v>288</v>
      </c>
    </row>
    <row r="120" spans="1:7" x14ac:dyDescent="0.2">
      <c r="A120" t="s">
        <v>210</v>
      </c>
      <c r="B120" s="32" t="s">
        <v>211</v>
      </c>
      <c r="C120" s="95">
        <f>('DOE25'!L205)+('DOE25'!L223)+('DOE25'!L241)</f>
        <v>339710.68000000005</v>
      </c>
      <c r="D120" s="24" t="s">
        <v>288</v>
      </c>
      <c r="E120" s="95">
        <f>+('DOE25'!L284)+('DOE25'!L303)+('DOE25'!L322)</f>
        <v>1311.71</v>
      </c>
      <c r="F120" s="24" t="s">
        <v>288</v>
      </c>
      <c r="G120" s="24" t="s">
        <v>288</v>
      </c>
    </row>
    <row r="121" spans="1:7" x14ac:dyDescent="0.2">
      <c r="A121" t="s">
        <v>212</v>
      </c>
      <c r="B121" s="32" t="s">
        <v>213</v>
      </c>
      <c r="C121" s="95">
        <f>('DOE25'!L206)+('DOE25'!L224)+('DOE25'!L242)</f>
        <v>417542.65</v>
      </c>
      <c r="D121" s="24" t="s">
        <v>288</v>
      </c>
      <c r="E121" s="95">
        <f>+('DOE25'!L285)+('DOE25'!L304)+('DOE25'!L323)</f>
        <v>0</v>
      </c>
      <c r="F121" s="24" t="s">
        <v>288</v>
      </c>
      <c r="G121" s="24" t="s">
        <v>288</v>
      </c>
    </row>
    <row r="122" spans="1:7" x14ac:dyDescent="0.2">
      <c r="A122" t="s">
        <v>214</v>
      </c>
      <c r="B122" s="32" t="s">
        <v>215</v>
      </c>
      <c r="C122" s="95">
        <f>('DOE25'!L207)+('DOE25'!L225)+('DOE25'!L243)</f>
        <v>89938.9</v>
      </c>
      <c r="D122" s="24" t="s">
        <v>288</v>
      </c>
      <c r="E122" s="95">
        <f>+('DOE25'!L286)+('DOE25'!L305)+('DOE25'!L324)</f>
        <v>0</v>
      </c>
      <c r="F122" s="24" t="s">
        <v>288</v>
      </c>
      <c r="G122" s="24" t="s">
        <v>288</v>
      </c>
    </row>
    <row r="123" spans="1:7" x14ac:dyDescent="0.2">
      <c r="A123" t="s">
        <v>216</v>
      </c>
      <c r="B123" s="32" t="s">
        <v>217</v>
      </c>
      <c r="C123" s="95">
        <f>('DOE25'!L208)+('DOE25'!L226)+('DOE25'!L244)</f>
        <v>1183997.8800000001</v>
      </c>
      <c r="D123" s="24" t="s">
        <v>288</v>
      </c>
      <c r="E123" s="95">
        <f>+('DOE25'!L287)+('DOE25'!L306)+('DOE25'!L325)</f>
        <v>6366.91</v>
      </c>
      <c r="F123" s="24" t="s">
        <v>288</v>
      </c>
      <c r="G123" s="24" t="s">
        <v>288</v>
      </c>
    </row>
    <row r="124" spans="1:7" x14ac:dyDescent="0.2">
      <c r="A124" t="s">
        <v>218</v>
      </c>
      <c r="B124" s="32" t="s">
        <v>219</v>
      </c>
      <c r="C124" s="95">
        <f>('DOE25'!L209)+('DOE25'!L227)+('DOE25'!L245+'DOE25'!L255)</f>
        <v>589699.05999999994</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189095.75</v>
      </c>
      <c r="E127" s="24" t="s">
        <v>288</v>
      </c>
      <c r="F127" s="24" t="s">
        <v>288</v>
      </c>
      <c r="G127" s="24" t="s">
        <v>288</v>
      </c>
    </row>
    <row r="128" spans="1:7" ht="12.75" thickTop="1" thickBot="1" x14ac:dyDescent="0.25">
      <c r="A128" s="33" t="s">
        <v>226</v>
      </c>
      <c r="C128" s="86">
        <f>SUM(C118:C127)</f>
        <v>3251936.15</v>
      </c>
      <c r="D128" s="86">
        <f>SUM(D118:D127)</f>
        <v>189095.75</v>
      </c>
      <c r="E128" s="86">
        <f>SUM(E118:E127)</f>
        <v>180064.21999999997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7424</v>
      </c>
      <c r="D130" s="24" t="s">
        <v>288</v>
      </c>
      <c r="E130" s="129">
        <f>'DOE25'!L337</f>
        <v>0</v>
      </c>
      <c r="F130" s="129">
        <f>SUM('DOE25'!L375:'DOE25'!L381)</f>
        <v>0</v>
      </c>
      <c r="G130" s="24" t="s">
        <v>288</v>
      </c>
    </row>
    <row r="131" spans="1:7" x14ac:dyDescent="0.2">
      <c r="A131" t="s">
        <v>229</v>
      </c>
      <c r="B131" s="32">
        <v>5110</v>
      </c>
      <c r="C131" s="95">
        <f>'DOE25'!L261</f>
        <v>705000</v>
      </c>
      <c r="D131" s="24" t="s">
        <v>288</v>
      </c>
      <c r="E131" s="129">
        <f>'DOE25'!L342</f>
        <v>0</v>
      </c>
      <c r="F131" s="24" t="s">
        <v>288</v>
      </c>
      <c r="G131" s="24" t="s">
        <v>288</v>
      </c>
    </row>
    <row r="132" spans="1:7" x14ac:dyDescent="0.2">
      <c r="A132" t="s">
        <v>230</v>
      </c>
      <c r="B132" s="32">
        <v>5120</v>
      </c>
      <c r="C132" s="95">
        <f>'DOE25'!L262</f>
        <v>17977.5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86336.34</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108598.2</v>
      </c>
      <c r="D138" s="24" t="s">
        <v>288</v>
      </c>
      <c r="E138" s="24" t="s">
        <v>288</v>
      </c>
      <c r="F138" s="24" t="s">
        <v>288</v>
      </c>
      <c r="G138" s="24" t="s">
        <v>288</v>
      </c>
    </row>
    <row r="139" spans="1:7" x14ac:dyDescent="0.2">
      <c r="A139" t="s">
        <v>239</v>
      </c>
      <c r="B139" s="32">
        <v>5252</v>
      </c>
      <c r="C139" s="95">
        <f>'DOE25'!L402</f>
        <v>3005.73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-11603.929999999993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916737.83999999985</v>
      </c>
      <c r="D144" s="141">
        <f>SUM(D130:D143)</f>
        <v>0</v>
      </c>
      <c r="E144" s="141">
        <f>SUM(E130:E143)</f>
        <v>0</v>
      </c>
      <c r="F144" s="141">
        <f>SUM(F130:F143)</f>
        <v>0</v>
      </c>
      <c r="G144" s="141">
        <f>SUM(G130:G143)</f>
        <v>0</v>
      </c>
    </row>
    <row r="145" spans="1:9" ht="12.75" thickTop="1" thickBot="1" x14ac:dyDescent="0.25">
      <c r="A145" s="33" t="s">
        <v>244</v>
      </c>
      <c r="C145" s="86">
        <f>(C115+C128+C144)</f>
        <v>15009885.75</v>
      </c>
      <c r="D145" s="86">
        <f>(D115+D128+D144)</f>
        <v>189095.75</v>
      </c>
      <c r="E145" s="86">
        <f>(E115+E128+E144)</f>
        <v>317679.45999999996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t="str">
        <f>'DOE25'!F492</f>
        <v>0</v>
      </c>
      <c r="C152" s="152">
        <f>'DOE25'!G492</f>
        <v>0</v>
      </c>
      <c r="D152" s="152">
        <f>'DOE25'!H492</f>
        <v>0</v>
      </c>
      <c r="E152" s="152">
        <f>'DOE25'!I492</f>
        <v>0</v>
      </c>
      <c r="F152" s="152">
        <f>'DOE25'!J492</f>
        <v>0</v>
      </c>
      <c r="G152" s="24" t="s">
        <v>288</v>
      </c>
    </row>
    <row r="153" spans="1:9" x14ac:dyDescent="0.2">
      <c r="A153" s="136" t="s">
        <v>29</v>
      </c>
      <c r="B153" s="152" t="str">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Alton School District</v>
      </c>
    </row>
    <row r="3" spans="1:4" x14ac:dyDescent="0.2">
      <c r="B3" s="188" t="s">
        <v>1587</v>
      </c>
    </row>
    <row r="4" spans="1:4" x14ac:dyDescent="0.2">
      <c r="B4" t="s">
        <v>61</v>
      </c>
      <c r="C4" s="179">
        <f>IF('DOE25'!F666+'DOE25'!F671=0,0,ROUND('DOE25'!F673,0))</f>
        <v>21768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21768</v>
      </c>
    </row>
    <row r="9" spans="1:4" x14ac:dyDescent="0.2">
      <c r="A9" s="187" t="s">
        <v>94</v>
      </c>
      <c r="B9" s="188" t="s">
        <v>1588</v>
      </c>
      <c r="C9" s="181" t="s">
        <v>720</v>
      </c>
      <c r="D9" s="181" t="s">
        <v>721</v>
      </c>
    </row>
    <row r="10" spans="1:4" x14ac:dyDescent="0.2">
      <c r="A10">
        <v>1100</v>
      </c>
      <c r="B10" t="s">
        <v>702</v>
      </c>
      <c r="C10" s="179">
        <f>ROUND('DOE25'!L198+'DOE25'!L216+'DOE25'!L234+'DOE25'!L277+'DOE25'!L296+'DOE25'!L315,0)</f>
        <v>8563517</v>
      </c>
      <c r="D10" s="182">
        <f>ROUND((C10/$C$28)*100,1)</f>
        <v>58.8</v>
      </c>
    </row>
    <row r="11" spans="1:4" x14ac:dyDescent="0.2">
      <c r="A11">
        <v>1200</v>
      </c>
      <c r="B11" t="s">
        <v>703</v>
      </c>
      <c r="C11" s="179">
        <f>ROUND('DOE25'!L199+'DOE25'!L217+'DOE25'!L235+'DOE25'!L278+'DOE25'!L297+'DOE25'!L316,0)</f>
        <v>2349316</v>
      </c>
      <c r="D11" s="182">
        <f>ROUND((C11/$C$28)*100,1)</f>
        <v>16.100000000000001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65994</v>
      </c>
      <c r="D13" s="182">
        <f>ROUND((C13/$C$28)*100,1)</f>
        <v>0.5</v>
      </c>
    </row>
    <row r="14" spans="1:4" x14ac:dyDescent="0.2">
      <c r="D14" s="182"/>
    </row>
    <row r="15" spans="1:4" x14ac:dyDescent="0.2">
      <c r="A15">
        <v>2100</v>
      </c>
      <c r="B15" t="s">
        <v>706</v>
      </c>
      <c r="C15" s="179">
        <f>ROUND('DOE25'!L203+'DOE25'!L221+'DOE25'!L239+'DOE25'!L282+'DOE25'!L301+'DOE25'!L320,0)</f>
        <v>573024</v>
      </c>
      <c r="D15" s="182">
        <f t="shared" ref="D15:D27" si="0">ROUND((C15/$C$28)*100,1)</f>
        <v>3.9</v>
      </c>
    </row>
    <row r="16" spans="1:4" x14ac:dyDescent="0.2">
      <c r="A16">
        <v>2200</v>
      </c>
      <c r="B16" t="s">
        <v>707</v>
      </c>
      <c r="C16" s="179">
        <f>ROUND('DOE25'!L204+'DOE25'!L222+'DOE25'!L240+'DOE25'!L283+'DOE25'!L302+'DOE25'!L321,0)</f>
        <v>230409</v>
      </c>
      <c r="D16" s="182">
        <f t="shared" si="0"/>
        <v>1.6</v>
      </c>
    </row>
    <row r="17" spans="1:4" x14ac:dyDescent="0.2">
      <c r="A17" s="183" t="s">
        <v>723</v>
      </c>
      <c r="B17" t="s">
        <v>738</v>
      </c>
      <c r="C17" s="179">
        <f>ROUND('DOE25'!L205+'DOE25'!L210+'DOE25'!L223+'DOE25'!L228+'DOE25'!L241+'DOE25'!L246+'DOE25'!L284+'DOE25'!L289+'DOE25'!L303+'DOE25'!L308+'DOE25'!L322+'DOE25'!L327,0)</f>
        <v>341022</v>
      </c>
      <c r="D17" s="182">
        <f t="shared" si="0"/>
        <v>2.2999999999999998</v>
      </c>
    </row>
    <row r="18" spans="1:4" x14ac:dyDescent="0.2">
      <c r="A18">
        <v>2400</v>
      </c>
      <c r="B18" t="s">
        <v>711</v>
      </c>
      <c r="C18" s="179">
        <f>ROUND('DOE25'!L206+'DOE25'!L224+'DOE25'!L242+'DOE25'!L285+'DOE25'!L304+'DOE25'!L323,0)</f>
        <v>417543</v>
      </c>
      <c r="D18" s="182">
        <f t="shared" si="0"/>
        <v>2.9</v>
      </c>
    </row>
    <row r="19" spans="1:4" x14ac:dyDescent="0.2">
      <c r="A19">
        <v>2500</v>
      </c>
      <c r="B19" t="s">
        <v>708</v>
      </c>
      <c r="C19" s="179">
        <f>ROUND('DOE25'!L207+'DOE25'!L225+'DOE25'!L243+'DOE25'!L286+'DOE25'!L305+'DOE25'!L324,0)</f>
        <v>89939</v>
      </c>
      <c r="D19" s="182">
        <f t="shared" si="0"/>
        <v>0.6</v>
      </c>
    </row>
    <row r="20" spans="1:4" x14ac:dyDescent="0.2">
      <c r="A20">
        <v>2600</v>
      </c>
      <c r="B20" t="s">
        <v>709</v>
      </c>
      <c r="C20" s="179">
        <f>ROUND('DOE25'!L208+'DOE25'!L226+'DOE25'!L244+'DOE25'!L287+'DOE25'!L306+'DOE25'!L325,0)</f>
        <v>1190365</v>
      </c>
      <c r="D20" s="182">
        <f t="shared" si="0"/>
        <v>8.1999999999999993</v>
      </c>
    </row>
    <row r="21" spans="1:4" x14ac:dyDescent="0.2">
      <c r="A21">
        <v>2700</v>
      </c>
      <c r="B21" t="s">
        <v>710</v>
      </c>
      <c r="C21" s="179">
        <f>ROUND('DOE25'!L209+'DOE25'!L227+'DOE25'!L245+'DOE25'!L288+'DOE25'!L307+'DOE25'!L326,0)</f>
        <v>589699</v>
      </c>
      <c r="D21" s="182">
        <f t="shared" si="0"/>
        <v>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17978</v>
      </c>
      <c r="D25" s="182">
        <f t="shared" si="0"/>
        <v>0.1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143342.9</v>
      </c>
      <c r="D27" s="182">
        <f t="shared" si="0"/>
        <v>1</v>
      </c>
    </row>
    <row r="28" spans="1:4" x14ac:dyDescent="0.2">
      <c r="B28" s="187" t="s">
        <v>719</v>
      </c>
      <c r="C28" s="180">
        <f>SUM(C10:C27)</f>
        <v>14572148.9</v>
      </c>
      <c r="D28" s="184">
        <f>ROUND(SUM(D10:D27),0)</f>
        <v>100</v>
      </c>
    </row>
    <row r="29" spans="1:4" x14ac:dyDescent="0.2">
      <c r="A29">
        <v>4000</v>
      </c>
      <c r="B29" t="s">
        <v>724</v>
      </c>
      <c r="C29" s="179">
        <f>ROUND('DOE25'!L256+'DOE25'!L337+'DOE25'!L375+'DOE25'!L376+'DOE25'!L377+'DOE25'!L378+'DOE25'!L379+'DOE25'!L380+'DOE25'!L381,0)</f>
        <v>7424</v>
      </c>
    </row>
    <row r="30" spans="1:4" x14ac:dyDescent="0.2">
      <c r="B30" s="187" t="s">
        <v>725</v>
      </c>
      <c r="C30" s="180">
        <f>SUM(C28:C29)</f>
        <v>14579572.9</v>
      </c>
    </row>
    <row r="31" spans="1:4" x14ac:dyDescent="0.2">
      <c r="B31" s="33"/>
      <c r="C31" s="180"/>
    </row>
    <row r="32" spans="1:4" x14ac:dyDescent="0.2">
      <c r="A32">
        <v>5100</v>
      </c>
      <c r="B32" s="33" t="s">
        <v>726</v>
      </c>
      <c r="C32" s="180">
        <f>ROUND('DOE25'!L261+'DOE25'!L342,0)</f>
        <v>705000</v>
      </c>
    </row>
    <row r="34" spans="1:4" x14ac:dyDescent="0.2">
      <c r="A34" s="187" t="s">
        <v>94</v>
      </c>
      <c r="B34" s="188" t="s">
        <v>1589</v>
      </c>
      <c r="C34" s="181" t="s">
        <v>720</v>
      </c>
      <c r="D34" s="181" t="s">
        <v>721</v>
      </c>
    </row>
    <row r="35" spans="1:4" x14ac:dyDescent="0.2">
      <c r="A35">
        <v>1100</v>
      </c>
      <c r="B35" s="185" t="s">
        <v>727</v>
      </c>
      <c r="C35" s="179">
        <f>ROUND('DOE25'!F60+'DOE25'!G60+'DOE25'!H60+'DOE25'!I60+'DOE25'!J60,0)</f>
        <v>10412178</v>
      </c>
      <c r="D35" s="182">
        <f t="shared" ref="D35:D40" si="1">ROUND((C35/$C$41)*100,1)</f>
        <v>70.900000000000006</v>
      </c>
    </row>
    <row r="36" spans="1:4" x14ac:dyDescent="0.2">
      <c r="B36" s="185" t="s">
        <v>739</v>
      </c>
      <c r="C36" s="179">
        <f>SUM('DOE25'!F112:J112)-SUM('DOE25'!G97:G110)+('DOE25'!F175+'DOE25'!F176+'DOE25'!I175+'DOE25'!I176)-C35</f>
        <v>239736.41999999993</v>
      </c>
      <c r="D36" s="182">
        <f t="shared" si="1"/>
        <v>1.6</v>
      </c>
    </row>
    <row r="37" spans="1:4" x14ac:dyDescent="0.2">
      <c r="A37" s="183" t="s">
        <v>835</v>
      </c>
      <c r="B37" s="185" t="s">
        <v>728</v>
      </c>
      <c r="C37" s="179">
        <f>ROUND('DOE25'!F117+'DOE25'!F118,0)</f>
        <v>3599626</v>
      </c>
      <c r="D37" s="182">
        <f t="shared" si="1"/>
        <v>24.5</v>
      </c>
    </row>
    <row r="38" spans="1:4" x14ac:dyDescent="0.2">
      <c r="A38" s="183" t="s">
        <v>734</v>
      </c>
      <c r="B38" s="185" t="s">
        <v>729</v>
      </c>
      <c r="C38" s="179">
        <f>ROUND(SUM('DOE25'!F140:J140)-SUM('DOE25'!F117:F119),0)</f>
        <v>66503</v>
      </c>
      <c r="D38" s="182">
        <f t="shared" si="1"/>
        <v>0.5</v>
      </c>
    </row>
    <row r="39" spans="1:4" x14ac:dyDescent="0.2">
      <c r="A39">
        <v>4000</v>
      </c>
      <c r="B39" s="185" t="s">
        <v>730</v>
      </c>
      <c r="C39" s="179">
        <f>ROUND('DOE25'!F170+'DOE25'!G170+'DOE25'!H170+'DOE25'!I170,0)</f>
        <v>375565</v>
      </c>
      <c r="D39" s="182">
        <f t="shared" si="1"/>
        <v>2.6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14693608.42</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Alton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t="s">
        <v>1644</v>
      </c>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t="s">
        <v>1645</v>
      </c>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2020-10-26T16:34:54Z</cp:lastPrinted>
  <dcterms:created xsi:type="dcterms:W3CDTF">1997-12-04T19:04:30Z</dcterms:created>
  <dcterms:modified xsi:type="dcterms:W3CDTF">2020-12-09T16:10:20Z</dcterms:modified>
</cp:coreProperties>
</file>