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 i="13" l="1"/>
  <c r="C11" i="12"/>
  <c r="C20" i="12"/>
  <c r="B20" i="12"/>
  <c r="H532" i="1"/>
  <c r="H522" i="1"/>
  <c r="G522" i="1"/>
  <c r="G532" i="1"/>
  <c r="H583" i="1"/>
  <c r="H527" i="1"/>
  <c r="I527" i="1"/>
  <c r="G527" i="1"/>
  <c r="F527" i="1"/>
  <c r="I522" i="1"/>
  <c r="F522" i="1"/>
  <c r="H529" i="1"/>
  <c r="G563" i="1"/>
  <c r="H523" i="1"/>
  <c r="H524" i="1"/>
  <c r="F532" i="1"/>
  <c r="F503" i="1" l="1"/>
  <c r="F283" i="1"/>
  <c r="G283" i="1"/>
  <c r="K283" i="1"/>
  <c r="I283" i="1"/>
  <c r="H283" i="1"/>
  <c r="J289" i="1"/>
  <c r="I289" i="1"/>
  <c r="G282" i="1"/>
  <c r="F282" i="1"/>
  <c r="I282" i="1"/>
  <c r="I277" i="1"/>
  <c r="G277" i="1"/>
  <c r="H164" i="1" l="1"/>
  <c r="H159" i="1"/>
  <c r="H155" i="1"/>
  <c r="J381" i="1"/>
  <c r="I381" i="1"/>
  <c r="H380" i="1"/>
  <c r="H210" i="1"/>
  <c r="H208" i="1"/>
  <c r="H206" i="1"/>
  <c r="H205" i="1"/>
  <c r="I203" i="1"/>
  <c r="H204" i="1"/>
  <c r="G204" i="1"/>
  <c r="F204" i="1"/>
  <c r="K203" i="1"/>
  <c r="H203" i="1"/>
  <c r="G203" i="1"/>
  <c r="F203" i="1"/>
  <c r="H239" i="1"/>
  <c r="G201" i="1"/>
  <c r="F201" i="1"/>
  <c r="J201" i="1"/>
  <c r="I201" i="1"/>
  <c r="H201" i="1"/>
  <c r="H199" i="1"/>
  <c r="H235" i="1"/>
  <c r="H217" i="1"/>
  <c r="H234" i="1"/>
  <c r="J199" i="1"/>
  <c r="I199" i="1"/>
  <c r="G199" i="1"/>
  <c r="F199" i="1"/>
  <c r="H359" i="1" l="1"/>
  <c r="F369" i="1"/>
  <c r="I359" i="1"/>
  <c r="G359" i="1"/>
  <c r="F368" i="1"/>
  <c r="G158" i="1"/>
  <c r="G13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L228" i="1"/>
  <c r="L246" i="1"/>
  <c r="G5" i="13"/>
  <c r="H5" i="13"/>
  <c r="L198" i="1"/>
  <c r="L199" i="1"/>
  <c r="L200" i="1"/>
  <c r="L201" i="1"/>
  <c r="C112" i="2" s="1"/>
  <c r="L216" i="1"/>
  <c r="L217" i="1"/>
  <c r="L218" i="1"/>
  <c r="L219" i="1"/>
  <c r="L234" i="1"/>
  <c r="L235" i="1"/>
  <c r="C11" i="10" s="1"/>
  <c r="L236" i="1"/>
  <c r="L237" i="1"/>
  <c r="G6" i="13"/>
  <c r="H6" i="13"/>
  <c r="L203" i="1"/>
  <c r="L221" i="1"/>
  <c r="L239" i="1"/>
  <c r="G7" i="13"/>
  <c r="H7" i="13"/>
  <c r="L204" i="1"/>
  <c r="C119" i="2" s="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E112" i="2" s="1"/>
  <c r="L282" i="1"/>
  <c r="L283" i="1"/>
  <c r="E119" i="2"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0" i="2"/>
  <c r="E121"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J258" i="1"/>
  <c r="J572" i="1"/>
  <c r="I170" i="1"/>
  <c r="J140" i="1"/>
  <c r="H140" i="1"/>
  <c r="A40" i="12" l="1"/>
  <c r="G553" i="1"/>
  <c r="K339" i="1"/>
  <c r="K353" i="1" s="1"/>
  <c r="C13" i="10"/>
  <c r="J652" i="1"/>
  <c r="C20" i="10"/>
  <c r="C120" i="2"/>
  <c r="D6" i="13"/>
  <c r="C6" i="13" s="1"/>
  <c r="C110" i="2"/>
  <c r="G477" i="1"/>
  <c r="H624" i="1" s="1"/>
  <c r="J624" i="1" s="1"/>
  <c r="I370" i="1"/>
  <c r="H635" i="1" s="1"/>
  <c r="G662" i="1"/>
  <c r="H477" i="1"/>
  <c r="H625" i="1" s="1"/>
  <c r="G409" i="1"/>
  <c r="H646" i="1" s="1"/>
  <c r="J646" i="1" s="1"/>
  <c r="F339" i="1"/>
  <c r="F353" i="1" s="1"/>
  <c r="J642" i="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E128" i="2" s="1"/>
  <c r="L248" i="1"/>
  <c r="G36" i="14" s="1"/>
  <c r="H36" i="14" s="1"/>
  <c r="I36" i="14" s="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L572" i="1" l="1"/>
  <c r="H649" i="1"/>
  <c r="E145" i="2"/>
  <c r="F661" i="1"/>
  <c r="F665" i="1" s="1"/>
  <c r="F668" i="1" s="1"/>
  <c r="E51" i="2"/>
  <c r="F51" i="2"/>
  <c r="F194" i="1"/>
  <c r="C81" i="2"/>
  <c r="H661" i="1"/>
  <c r="H665" i="1" s="1"/>
  <c r="B33" i="16"/>
  <c r="C141" i="2"/>
  <c r="C144" i="2"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68"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<sst xmlns="http://schemas.openxmlformats.org/spreadsheetml/2006/main" count="5549" uniqueCount="1646">
  <si>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</si>
  <si>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</si>
  <si>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</si>
  <si>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</si>
  <si>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</si>
  <si>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</si>
  <si>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</si>
  <si>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</si>
  <si>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</si>
  <si>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</si>
  <si>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</si>
  <si>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</si>
  <si>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</si>
  <si>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</si>
  <si>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</si>
  <si>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</si>
  <si>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</si>
  <si>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</si>
  <si>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</si>
  <si>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</si>
  <si>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</si>
  <si>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</si>
  <si>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</si>
  <si>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</si>
  <si>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</si>
  <si>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</si>
  <si>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</si>
  <si>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</si>
  <si>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</si>
  <si>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</si>
  <si>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</si>
  <si>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</si>
  <si>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</si>
  <si>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</si>
  <si>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</si>
  <si>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</si>
  <si>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</si>
  <si>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</si>
  <si>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</si>
  <si>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</si>
  <si>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</si>
  <si>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</si>
  <si>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</si>
  <si>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</si>
  <si>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</si>
  <si>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</si>
  <si>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</si>
  <si>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</si>
  <si>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</si>
  <si>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</si>
  <si>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</si>
  <si>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</si>
  <si>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</si>
  <si>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</si>
  <si>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</si>
  <si>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</si>
  <si>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</si>
  <si>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</si>
  <si>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</si>
  <si>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</si>
  <si>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</si>
  <si>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</si>
  <si>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</si>
  <si>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</si>
  <si>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</si>
  <si>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</si>
  <si>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</si>
  <si>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</si>
  <si>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</si>
  <si>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</si>
  <si>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</si>
  <si>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</si>
  <si>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</si>
  <si>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</si>
  <si>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</si>
  <si>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</si>
  <si>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</si>
  <si>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</si>
  <si>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</si>
  <si>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</si>
  <si>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</si>
  <si>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</si>
  <si>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</si>
  <si>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</si>
  <si>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</si>
  <si>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</si>
  <si>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</si>
  <si>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</si>
  <si>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</si>
  <si>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</si>
  <si>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</si>
  <si>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</si>
  <si>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</si>
  <si>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</si>
  <si>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</si>
  <si>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</si>
  <si>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</si>
  <si>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</si>
  <si>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</si>
  <si>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</si>
  <si>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</si>
  <si>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</si>
  <si>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</si>
  <si>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</si>
  <si>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</si>
  <si>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</si>
  <si>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</si>
  <si>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</si>
  <si>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</si>
  <si>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</si>
  <si>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</si>
  <si>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</si>
  <si>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</si>
  <si>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</si>
  <si>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</si>
  <si>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</si>
  <si>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</si>
  <si>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</si>
  <si>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</si>
  <si>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</si>
  <si>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</si>
  <si>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</si>
  <si>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</si>
  <si>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</si>
  <si>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</si>
  <si>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</si>
  <si>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</si>
  <si>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</si>
  <si>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</si>
  <si>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</si>
  <si>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</si>
  <si>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</si>
  <si>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</si>
  <si>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</si>
  <si>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</si>
  <si>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</si>
  <si>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</si>
  <si>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</si>
  <si>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</si>
  <si>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</si>
  <si>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</si>
  <si>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</si>
  <si>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</si>
  <si>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</si>
  <si>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</si>
  <si>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</si>
  <si>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</si>
  <si>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</si>
  <si>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</si>
  <si>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</si>
  <si>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</si>
  <si>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</si>
  <si>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</si>
  <si>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</si>
  <si>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</si>
  <si>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</si>
  <si>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</si>
  <si>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</si>
  <si>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</si>
  <si>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</si>
  <si>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</si>
  <si>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</si>
  <si>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</si>
  <si>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</si>
  <si>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</si>
  <si>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</si>
  <si>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</si>
  <si>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</si>
  <si>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</si>
  <si>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</si>
  <si>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</si>
  <si>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</si>
  <si>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</si>
  <si>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</si>
  <si>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</si>
  <si>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</si>
  <si>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</si>
  <si>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</si>
  <si>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</si>
  <si>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</si>
  <si>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</si>
  <si>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</si>
  <si>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</si>
  <si>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</si>
  <si>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</si>
  <si>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</si>
  <si>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</si>
  <si>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</si>
  <si>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</si>
  <si>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</si>
  <si>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</si>
  <si>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</si>
  <si>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</si>
  <si>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</si>
  <si>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</si>
  <si>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</si>
  <si>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</si>
  <si>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</si>
  <si>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</si>
  <si>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</si>
  <si>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</si>
  <si>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</si>
  <si>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</si>
  <si>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</si>
  <si>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</si>
  <si>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</si>
  <si>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</si>
  <si>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</si>
  <si>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</si>
  <si>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</si>
  <si>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</si>
  <si>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</si>
  <si>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</si>
  <si>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</si>
  <si>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</si>
  <si>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</si>
  <si>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</si>
  <si>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</si>
  <si>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</si>
  <si>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</si>
  <si>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</si>
  <si>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</si>
  <si>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</si>
  <si>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</si>
  <si>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</si>
  <si>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</si>
  <si>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</si>
  <si>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</si>
  <si>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</si>
  <si>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</si>
  <si>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</si>
  <si>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</si>
  <si>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</si>
  <si>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</si>
  <si>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</si>
  <si>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</si>
  <si>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</si>
  <si>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</si>
  <si>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</si>
  <si>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</si>
  <si>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</si>
  <si>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</si>
  <si>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</si>
  <si>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</si>
  <si>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</si>
  <si>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</si>
  <si>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</si>
  <si>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</si>
  <si>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</si>
  <si>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</si>
  <si>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</si>
  <si>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</si>
  <si>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</si>
  <si>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</si>
  <si>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</si>
  <si>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</si>
  <si>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</si>
  <si>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</si>
  <si>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</si>
  <si>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</si>
  <si>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</si>
  <si>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</si>
  <si>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</si>
  <si>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</si>
  <si>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</si>
  <si>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</si>
  <si>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</si>
  <si>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</si>
  <si>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</si>
  <si>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</si>
  <si>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</si>
  <si>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</si>
  <si>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</si>
  <si>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</si>
  <si>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</si>
  <si>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</si>
  <si>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</si>
  <si>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</si>
  <si>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</si>
  <si>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</si>
  <si>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</si>
  <si>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</si>
  <si>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</si>
  <si>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</si>
  <si>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</si>
  <si>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</si>
  <si>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</si>
  <si>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</si>
  <si>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</si>
  <si>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</si>
  <si>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</si>
  <si>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</si>
  <si>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</si>
  <si>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</si>
  <si>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</si>
  <si>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</si>
  <si>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</si>
  <si>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</si>
  <si>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</si>
  <si>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</si>
  <si>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</si>
  <si>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</si>
  <si>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</si>
  <si>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</si>
  <si>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</si>
  <si>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</si>
  <si>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</si>
  <si>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</si>
  <si>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</si>
  <si>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</si>
  <si>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</si>
  <si>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</si>
  <si>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</si>
  <si>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</si>
  <si>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</si>
  <si>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</si>
  <si>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</si>
  <si>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</si>
  <si>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</si>
  <si>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</si>
  <si>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</si>
  <si>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</si>
  <si>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</si>
  <si>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</si>
  <si>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</si>
  <si>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</si>
  <si>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</si>
  <si>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</si>
  <si>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</si>
  <si>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</si>
  <si>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</si>
  <si>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</si>
  <si>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</si>
  <si>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</si>
  <si>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</si>
  <si>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</si>
  <si>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</si>
  <si>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</si>
  <si>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</si>
  <si>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</si>
  <si>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</si>
  <si>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</si>
  <si>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</si>
  <si>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</si>
  <si>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</si>
  <si>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</si>
  <si>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</si>
  <si>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</si>
  <si>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</si>
  <si>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</si>
  <si>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</si>
  <si>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</si>
  <si>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</si>
  <si>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</si>
  <si>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</si>
  <si>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</si>
  <si>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</si>
  <si>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</si>
  <si>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</si>
  <si>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</si>
  <si>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</si>
  <si>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</si>
  <si>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</si>
  <si>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</si>
  <si>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</si>
  <si>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</si>
  <si>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</si>
  <si>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</si>
  <si>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</si>
  <si>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</si>
  <si>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</si>
  <si>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</si>
  <si>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</si>
  <si>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</si>
  <si>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</si>
  <si>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</si>
  <si>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</si>
  <si>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</si>
  <si>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</si>
  <si>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</si>
  <si>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</si>
  <si>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</si>
  <si>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</si>
  <si>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</si>
  <si>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</si>
  <si>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</si>
  <si>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</si>
  <si>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</si>
  <si>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</si>
  <si>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</si>
  <si>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</si>
  <si>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</si>
  <si>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</si>
  <si>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</si>
  <si>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</si>
  <si>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</si>
  <si>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</si>
  <si>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</si>
  <si>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</si>
  <si>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</si>
  <si>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</si>
  <si>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</si>
  <si>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</si>
  <si>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</si>
  <si>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</si>
  <si>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</si>
  <si>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</si>
  <si>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</si>
  <si>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</si>
  <si>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</si>
  <si>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</si>
  <si>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</si>
  <si>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</si>
  <si>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</si>
  <si>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</si>
  <si>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</si>
  <si>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</si>
  <si>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</si>
  <si>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</si>
  <si>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</si>
  <si>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</si>
  <si>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</si>
  <si>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</si>
  <si>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</si>
  <si>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</si>
  <si>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</si>
  <si>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</si>
  <si>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</si>
  <si>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</si>
  <si>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</si>
  <si>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</si>
  <si>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</si>
  <si>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</si>
  <si>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</si>
  <si>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</si>
  <si>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</si>
  <si>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</si>
  <si>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</si>
  <si>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</si>
  <si>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</si>
  <si>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</si>
  <si>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</si>
  <si>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</si>
  <si>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</si>
  <si>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</si>
  <si>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</si>
  <si>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</si>
  <si>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</si>
  <si>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</si>
  <si>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</si>
  <si>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</si>
  <si>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</si>
  <si>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</si>
  <si>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</si>
  <si>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</si>
  <si>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</si>
  <si>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</si>
  <si>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</si>
  <si>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</si>
  <si>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</si>
  <si>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</si>
  <si>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</si>
  <si>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</si>
  <si>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</si>
  <si>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</si>
  <si>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</si>
  <si>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</si>
  <si>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</si>
  <si>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</si>
  <si>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</si>
  <si>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</si>
  <si>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</si>
  <si>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</si>
  <si>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</si>
  <si>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</si>
  <si>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</si>
  <si>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</si>
  <si>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</si>
  <si>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</si>
  <si>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</si>
  <si>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</si>
  <si>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</si>
  <si>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</si>
  <si>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</si>
  <si>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</si>
  <si>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</si>
  <si>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</si>
  <si>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</si>
  <si>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</si>
  <si>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</si>
  <si>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</si>
  <si>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</si>
  <si>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</si>
  <si>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</si>
  <si>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</si>
  <si>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</si>
  <si>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</si>
  <si>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</si>
  <si>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</si>
  <si>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</si>
  <si>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</si>
  <si>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</si>
  <si>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</si>
  <si>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</si>
  <si>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</si>
  <si>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</si>
  <si>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</si>
  <si>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</si>
  <si>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</si>
  <si>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</si>
  <si>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</si>
  <si>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</si>
  <si>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</si>
  <si>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</si>
  <si>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</si>
  <si>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</si>
  <si>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</si>
  <si>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</si>
  <si>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</si>
  <si>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</si>
  <si>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</si>
  <si>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</si>
  <si>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</si>
  <si>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</si>
  <si>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</si>
  <si>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</si>
  <si>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</si>
  <si>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</si>
  <si>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</si>
  <si>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</si>
  <si>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</si>
  <si>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</si>
  <si>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</si>
  <si>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</si>
  <si>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</si>
  <si>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</si>
  <si>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</si>
  <si>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</si>
  <si>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</si>
  <si>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</si>
  <si>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</si>
  <si>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</si>
  <si>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</si>
  <si>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</si>
  <si>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</si>
  <si>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</si>
  <si>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</si>
  <si>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</si>
  <si>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</si>
  <si>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</si>
  <si>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</si>
  <si>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</si>
  <si>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</si>
  <si>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</si>
  <si>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</si>
  <si>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</si>
  <si>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</si>
  <si>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</si>
  <si>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</si>
  <si>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</si>
  <si>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</si>
  <si>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</si>
  <si>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</si>
  <si>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</si>
  <si>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</si>
  <si>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</si>
  <si>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</si>
  <si>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</si>
  <si>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</si>
  <si>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</si>
  <si>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</si>
  <si>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</si>
  <si>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</si>
  <si>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</si>
  <si>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</si>
  <si>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</si>
  <si>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</si>
  <si>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</si>
  <si>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</si>
  <si>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</si>
  <si>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</si>
  <si>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</si>
  <si>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</si>
  <si>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</si>
  <si>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</si>
  <si>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</si>
  <si>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</si>
  <si>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</si>
  <si>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</si>
  <si>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</si>
  <si>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</si>
  <si>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</si>
  <si>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</si>
  <si>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</si>
  <si>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</si>
  <si>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</si>
  <si>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</si>
  <si>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</si>
  <si>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</si>
  <si>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</si>
  <si>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</si>
  <si>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</si>
  <si>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</si>
  <si>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</si>
  <si>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</si>
  <si>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</si>
  <si>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</si>
  <si>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</si>
  <si>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</si>
  <si>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</si>
  <si>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</si>
  <si>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</si>
  <si>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</si>
  <si>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</si>
  <si>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</si>
  <si>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</si>
  <si>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</si>
  <si>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</si>
  <si>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</si>
  <si>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</si>
  <si>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</si>
  <si>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</si>
  <si>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</si>
  <si>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</si>
  <si>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</si>
  <si>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</si>
  <si>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</si>
  <si>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</si>
  <si>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</si>
  <si>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</si>
  <si>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</si>
  <si>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</si>
  <si>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</si>
  <si>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</si>
  <si>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</si>
  <si>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</si>
  <si>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</si>
  <si>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</si>
  <si>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</si>
  <si>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</si>
  <si>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</si>
  <si>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</si>
  <si>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</si>
  <si>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</si>
  <si>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</si>
  <si>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</si>
  <si>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</si>
  <si>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</si>
  <si>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</si>
  <si>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</si>
  <si>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</si>
  <si>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</si>
  <si>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</si>
  <si>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</si>
  <si>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</si>
  <si>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</si>
  <si>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</si>
  <si>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</si>
  <si>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</si>
  <si>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</si>
  <si>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</si>
  <si>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</si>
  <si>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</si>
  <si>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</si>
  <si>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</si>
  <si>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</si>
  <si>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</si>
  <si>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</si>
  <si>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</si>
  <si>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</si>
  <si>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</si>
  <si>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</si>
  <si>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</si>
  <si>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</si>
  <si>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</si>
  <si>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</si>
  <si>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</si>
  <si>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</si>
  <si>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</si>
  <si>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</si>
  <si>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</si>
  <si>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</si>
  <si>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</si>
  <si>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</si>
  <si>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</si>
  <si>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</si>
  <si>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</si>
  <si>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</si>
  <si>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</si>
  <si>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</si>
  <si>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</si>
  <si>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</si>
  <si>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</si>
  <si>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</si>
  <si>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</si>
  <si>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</si>
  <si>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</si>
  <si>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</si>
  <si>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</si>
  <si>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</si>
  <si>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</si>
  <si>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</si>
  <si>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</si>
  <si>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</si>
  <si>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</si>
  <si>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</si>
  <si>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</si>
  <si>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</si>
  <si>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</si>
  <si>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</si>
  <si>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</si>
  <si>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</si>
  <si>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</si>
  <si>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</si>
  <si>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</si>
  <si>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</si>
  <si>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</si>
  <si>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</si>
  <si>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</si>
  <si>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</si>
  <si>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</si>
  <si>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</si>
  <si>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</si>
  <si>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</si>
  <si>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</si>
  <si>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</si>
  <si>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</si>
  <si>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</si>
  <si>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</si>
  <si>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</si>
  <si>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</si>
  <si>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</si>
  <si>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</si>
  <si>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</si>
  <si>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</si>
  <si>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</si>
  <si>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</si>
  <si>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</si>
  <si>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</si>
  <si>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</si>
  <si>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</si>
  <si>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</si>
  <si>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</si>
  <si>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</si>
  <si>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</si>
  <si>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</si>
  <si>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</si>
  <si>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</si>
  <si>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</si>
  <si>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</si>
  <si>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</si>
  <si>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</si>
  <si>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</si>
  <si>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</si>
  <si>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</si>
  <si>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</si>
  <si>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</si>
  <si>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</si>
  <si>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</si>
  <si>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</si>
  <si>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</si>
  <si>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</si>
  <si>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</si>
  <si>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</si>
  <si>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</si>
  <si>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</si>
  <si>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</si>
  <si>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</si>
  <si>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</si>
  <si>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</si>
  <si>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</si>
  <si>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</si>
  <si>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</si>
  <si>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</si>
  <si>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</si>
  <si>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</si>
  <si>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</si>
  <si>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</si>
  <si>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</si>
  <si>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</si>
  <si>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</si>
  <si>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</si>
  <si>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</si>
  <si>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</si>
  <si>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</si>
  <si>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</si>
  <si>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</si>
  <si>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</si>
  <si>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</si>
  <si>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</si>
  <si>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</si>
  <si>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</si>
  <si>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</si>
  <si>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</si>
  <si>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</si>
  <si>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</si>
  <si>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</si>
  <si>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</si>
  <si>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</si>
  <si>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</si>
  <si>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</si>
  <si>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</si>
  <si>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</si>
  <si>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</si>
  <si>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</si>
  <si>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</si>
  <si>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</si>
  <si>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</si>
  <si>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</si>
  <si>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</si>
  <si>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</si>
  <si>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</si>
  <si>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</si>
  <si>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</si>
  <si>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</si>
  <si>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</si>
  <si>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</si>
  <si>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</si>
  <si>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</si>
  <si>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</si>
  <si>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</si>
  <si>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</si>
  <si>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</si>
  <si>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</si>
  <si>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</si>
  <si>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</si>
  <si>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</si>
  <si>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</si>
  <si>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</si>
  <si>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</si>
  <si>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</si>
  <si>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</si>
  <si>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</si>
  <si>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</si>
  <si>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</si>
  <si>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</si>
  <si>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</si>
  <si>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</si>
  <si>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</si>
  <si>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</si>
  <si>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</si>
  <si>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</si>
  <si>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</si>
  <si>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</si>
  <si>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</si>
  <si>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</si>
  <si>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</si>
  <si>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</si>
  <si>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</si>
  <si>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</si>
  <si>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</si>
  <si>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</si>
  <si>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</si>
  <si>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</si>
  <si>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</si>
  <si>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</si>
  <si>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</si>
  <si>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</si>
  <si>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</si>
  <si>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</si>
  <si>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</si>
  <si>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</si>
  <si>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</si>
  <si>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</si>
  <si>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</si>
  <si>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</si>
  <si>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</si>
  <si>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</si>
  <si>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</si>
  <si>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</si>
  <si>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</si>
  <si>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</si>
  <si>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</si>
  <si>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</si>
  <si>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</si>
  <si>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</si>
  <si>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</si>
  <si>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</si>
  <si>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</si>
  <si>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</si>
  <si>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</si>
  <si>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</si>
  <si>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</si>
  <si>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</si>
  <si>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</si>
  <si>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</si>
  <si>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</si>
  <si>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</si>
  <si>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</si>
  <si>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</si>
  <si>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</si>
  <si>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</si>
  <si>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</si>
  <si>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</si>
  <si>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</si>
  <si>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</si>
  <si>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</si>
  <si>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</si>
  <si>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</si>
  <si>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</si>
  <si>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</si>
  <si>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</si>
  <si>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</si>
  <si>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</si>
  <si>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</si>
  <si>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</si>
  <si>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</si>
  <si>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</si>
  <si>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</si>
  <si>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</si>
  <si>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</si>
  <si>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</si>
  <si>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</si>
  <si>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</si>
  <si>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</si>
  <si>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</si>
  <si>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</si>
  <si>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</si>
  <si>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</si>
  <si>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</si>
  <si>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</si>
  <si>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</si>
  <si>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</si>
  <si>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</si>
  <si>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</si>
  <si>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</si>
  <si>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</si>
  <si>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</si>
  <si>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</si>
  <si>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</si>
  <si>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</si>
  <si>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</si>
  <si>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</si>
  <si>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</si>
  <si>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</si>
  <si>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</si>
  <si>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</si>
  <si>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</si>
  <si>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</si>
  <si>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</si>
  <si>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</si>
  <si>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</si>
  <si>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</si>
  <si>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</si>
  <si>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</si>
  <si>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</si>
  <si>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</si>
  <si>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</si>
  <si>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</si>
  <si>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</si>
  <si>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</si>
  <si>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</si>
  <si>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</si>
  <si>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</si>
  <si>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</si>
  <si>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</si>
  <si>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</si>
  <si>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</si>
  <si>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</si>
  <si>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</si>
  <si>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</si>
  <si>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</si>
  <si>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</si>
  <si>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</si>
  <si>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</si>
  <si>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</si>
  <si>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</si>
  <si>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</si>
  <si>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</si>
  <si>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</si>
  <si>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</si>
  <si>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</si>
  <si>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</si>
  <si>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</si>
  <si>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</si>
  <si>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</si>
  <si>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</si>
  <si>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</si>
  <si>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</si>
  <si>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</si>
  <si>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</si>
  <si>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</si>
  <si>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</si>
  <si>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</si>
  <si>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</si>
  <si>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</si>
  <si>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</si>
  <si>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</si>
  <si>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</si>
  <si>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</si>
  <si>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</si>
  <si>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</si>
  <si>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</si>
  <si>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</si>
  <si>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</si>
  <si>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</si>
  <si>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</si>
  <si>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</si>
  <si>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</si>
  <si>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</si>
  <si>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</si>
  <si>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</si>
  <si>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</si>
  <si>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</si>
  <si>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</si>
  <si>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</si>
  <si>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</si>
  <si>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</si>
  <si>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</si>
  <si>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</si>
  <si>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</si>
  <si>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</si>
  <si>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</si>
  <si>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</si>
  <si>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</si>
  <si>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</si>
  <si>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</si>
  <si>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</si>
  <si>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</si>
  <si>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</si>
  <si>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</si>
  <si>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</si>
  <si>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</si>
  <si>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</si>
  <si>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</si>
  <si>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</si>
  <si>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</si>
  <si>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</si>
  <si>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</si>
  <si>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</si>
  <si>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</si>
  <si>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</si>
  <si>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</si>
  <si>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</si>
  <si>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</si>
  <si>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</si>
  <si>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</si>
  <si>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</si>
  <si>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</si>
  <si>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</si>
  <si>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</si>
  <si>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</si>
  <si>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</si>
  <si>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</si>
  <si>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</si>
  <si>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</si>
  <si>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</si>
  <si>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</si>
  <si>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</si>
  <si>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</si>
  <si>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</si>
  <si>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</si>
  <si>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</si>
  <si>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</si>
  <si>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</si>
  <si>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</si>
  <si>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</si>
  <si>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</si>
  <si>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</si>
  <si>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</si>
  <si>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</si>
  <si>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</si>
  <si>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</si>
  <si>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</si>
  <si>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</si>
  <si>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</si>
  <si>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</si>
  <si>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</si>
  <si>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</si>
  <si>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</si>
  <si>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</si>
  <si>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</si>
  <si>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</si>
  <si>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</si>
  <si>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</si>
  <si>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</si>
  <si>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</si>
  <si>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</si>
  <si>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</si>
  <si>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</si>
  <si>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</si>
  <si>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</si>
  <si>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</si>
  <si>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</si>
  <si>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</si>
  <si>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</si>
  <si>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</si>
  <si>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</si>
  <si>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</si>
  <si>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</si>
  <si>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</si>
  <si>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</si>
  <si>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</si>
  <si>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</si>
  <si>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</si>
  <si>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</si>
  <si>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</si>
  <si>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</si>
  <si>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</si>
  <si>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</si>
  <si>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</si>
  <si>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</si>
  <si>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</si>
  <si>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</si>
  <si>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</si>
  <si>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</si>
  <si>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</si>
  <si>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</si>
  <si>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</si>
  <si>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</si>
  <si>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</si>
  <si>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</si>
  <si>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</si>
  <si>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</si>
  <si>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</si>
  <si>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</si>
  <si>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</si>
  <si>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</si>
  <si>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</si>
  <si>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</si>
  <si>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</si>
  <si>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</si>
  <si>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</si>
  <si>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</si>
  <si>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</si>
  <si>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</si>
  <si>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</si>
  <si>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</si>
  <si>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</si>
  <si>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</si>
  <si>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</si>
  <si>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</si>
  <si>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</si>
  <si>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</si>
  <si>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</si>
  <si>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</si>
  <si>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</si>
  <si>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</si>
  <si>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</si>
  <si>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</si>
  <si>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</si>
  <si>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</si>
  <si>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</si>
  <si>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</si>
  <si>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</si>
  <si>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</si>
  <si>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</si>
  <si>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</si>
  <si>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</si>
  <si>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</si>
  <si>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</si>
  <si>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</si>
  <si>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</si>
  <si>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</si>
  <si>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</si>
  <si>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</si>
  <si>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</si>
  <si>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</si>
  <si>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</si>
  <si>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</si>
  <si>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</si>
  <si>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</si>
  <si>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</si>
  <si>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</si>
  <si>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</si>
  <si>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</si>
  <si>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</si>
  <si>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</si>
  <si>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</si>
  <si>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</si>
  <si>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</si>
  <si>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</si>
  <si>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</si>
  <si>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</si>
  <si>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</si>
  <si>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</si>
  <si>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</si>
  <si>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</si>
  <si>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</si>
  <si>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</si>
  <si>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</si>
  <si>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</si>
  <si>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</si>
  <si>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</si>
  <si>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</si>
  <si>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</si>
  <si>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</si>
  <si>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</si>
  <si>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</si>
  <si>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</si>
  <si>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</si>
  <si>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</si>
  <si>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</si>
  <si>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</si>
  <si>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</si>
  <si>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</si>
  <si>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</si>
  <si>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</si>
  <si>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</si>
  <si>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</si>
  <si>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</si>
  <si>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</si>
  <si>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</si>
  <si>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</si>
  <si>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</si>
  <si>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</si>
  <si>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</si>
  <si>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</si>
  <si>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</si>
  <si>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</si>
  <si>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</si>
  <si>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</si>
  <si>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</si>
  <si>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</si>
  <si>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</si>
  <si>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</si>
  <si>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</si>
  <si>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</si>
  <si>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</si>
  <si>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</si>
  <si>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</si>
  <si>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</si>
  <si>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</si>
  <si>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</si>
  <si>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</si>
  <si>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</si>
  <si>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</si>
  <si>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</si>
  <si>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</si>
  <si>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</si>
  <si>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</si>
  <si>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</si>
  <si>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</si>
  <si>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</si>
  <si>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</si>
  <si>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</si>
  <si>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</si>
  <si>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</si>
  <si>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</si>
  <si>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</si>
  <si>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</si>
  <si>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</si>
  <si>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</si>
  <si>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</si>
  <si>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</si>
  <si>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</si>
  <si>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</si>
  <si>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</si>
  <si>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</si>
  <si>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</si>
  <si>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</si>
  <si>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</si>
  <si>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</si>
  <si>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</si>
  <si>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</si>
  <si>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</si>
  <si>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</si>
  <si>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</si>
  <si>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</si>
  <si>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</si>
  <si>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</si>
  <si>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</si>
  <si>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</si>
  <si>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</si>
  <si>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</si>
  <si>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</si>
  <si>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</si>
  <si>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</si>
  <si>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</si>
  <si>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</si>
  <si>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</si>
  <si>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</si>
  <si>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</si>
  <si>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</si>
  <si>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</si>
  <si>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</si>
  <si>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</si>
  <si>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</si>
  <si>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</si>
  <si>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</si>
  <si>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</si>
  <si>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</si>
  <si>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</si>
  <si>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</si>
  <si>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</si>
  <si>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</si>
  <si>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</si>
  <si>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</si>
  <si>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</si>
  <si>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</si>
  <si>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</si>
  <si>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</si>
  <si>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</si>
  <si>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</si>
  <si>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</si>
  <si>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</si>
  <si>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</si>
  <si>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</si>
  <si>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</si>
  <si>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</si>
  <si>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</si>
  <si>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</si>
  <si>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</si>
  <si>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</si>
  <si>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</si>
  <si>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</si>
  <si>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</si>
  <si>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</si>
  <si>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</si>
  <si>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</si>
  <si>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</si>
  <si>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</si>
  <si>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</si>
  <si>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</si>
  <si>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</si>
  <si>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</si>
  <si>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</si>
  <si>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</si>
  <si>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</si>
  <si>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</si>
  <si>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</si>
  <si>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</si>
  <si>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</si>
  <si>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</si>
  <si>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</si>
  <si>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</si>
  <si>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</si>
  <si>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</si>
  <si>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</si>
  <si>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</si>
  <si>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</si>
  <si>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</si>
  <si>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</si>
  <si>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</si>
  <si>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</si>
  <si>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</si>
  <si>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</si>
  <si>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</si>
  <si>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</si>
  <si>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</si>
  <si>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</si>
  <si>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</si>
  <si>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</si>
  <si>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</si>
  <si>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</si>
  <si>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</si>
  <si>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</si>
  <si>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</si>
  <si>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</si>
  <si>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</si>
  <si>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</si>
  <si>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</si>
  <si>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</si>
  <si>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</si>
  <si>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</si>
  <si>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</si>
  <si>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</si>
  <si>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</si>
  <si>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</si>
  <si>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</si>
  <si>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</si>
  <si>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</si>
  <si>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</si>
  <si>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</si>
  <si>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</si>
  <si>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</si>
  <si>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</si>
  <si>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</si>
  <si>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</si>
  <si>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</si>
  <si>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</si>
  <si>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</si>
  <si>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</si>
  <si>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</si>
  <si>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</si>
  <si>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</si>
  <si>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</si>
  <si>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</si>
  <si>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</si>
  <si>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</si>
  <si>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</si>
  <si>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</si>
  <si>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</si>
  <si>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</si>
  <si>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</si>
  <si>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</si>
  <si>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</si>
  <si>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</si>
  <si>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</si>
  <si>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</si>
  <si>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</si>
  <si>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</si>
  <si>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</si>
  <si>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</si>
  <si>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</si>
  <si>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</si>
  <si>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</si>
  <si>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</si>
  <si>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</si>
  <si>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</si>
  <si>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</si>
  <si>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</si>
  <si>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</si>
  <si>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</si>
  <si>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</si>
  <si>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</si>
  <si>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</si>
  <si>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</si>
  <si>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</si>
  <si>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</si>
  <si>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</si>
  <si>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</si>
  <si>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</si>
  <si>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</si>
  <si>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</si>
  <si>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</si>
  <si>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</si>
  <si>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</si>
  <si>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</si>
  <si>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</si>
  <si>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</si>
  <si>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</si>
  <si>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</si>
  <si>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</si>
  <si>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</si>
  <si>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</si>
  <si>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</si>
  <si>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</si>
  <si>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</si>
  <si>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</si>
  <si>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</si>
  <si>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</si>
  <si>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</si>
  <si>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</si>
  <si>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</si>
  <si>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</si>
  <si>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</si>
  <si>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</si>
  <si>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</si>
  <si>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</si>
  <si>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</si>
  <si>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</si>
  <si>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</si>
  <si>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</si>
  <si>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</si>
  <si>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</si>
  <si>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</si>
  <si>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</si>
  <si>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</si>
  <si>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</si>
  <si>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</si>
  <si>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</si>
  <si>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</si>
  <si>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</si>
  <si>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</si>
  <si>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</si>
  <si>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</si>
  <si>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</si>
  <si>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</si>
  <si>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</si>
  <si>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</si>
  <si>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</si>
  <si>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</si>
  <si>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</si>
  <si>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</si>
  <si>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</si>
  <si>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</si>
  <si>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</si>
  <si>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</si>
  <si>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</si>
  <si>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</si>
  <si>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</si>
  <si>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</si>
  <si>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</si>
  <si>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</si>
  <si>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</si>
  <si>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</si>
  <si>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</si>
  <si>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</si>
  <si>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</si>
  <si>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</si>
  <si>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</si>
  <si>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</si>
  <si>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</si>
  <si>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</si>
  <si>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</si>
  <si>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</si>
  <si>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</si>
  <si>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</si>
  <si>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</si>
  <si>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</si>
  <si>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</si>
  <si>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</si>
  <si>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</si>
  <si>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</si>
  <si>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</si>
  <si>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</si>
  <si>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</si>
  <si>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</si>
  <si>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</si>
  <si>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</si>
  <si>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</si>
  <si>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</si>
  <si>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</si>
  <si>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</si>
  <si>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</si>
  <si>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</si>
  <si>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</si>
  <si>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</si>
  <si>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</si>
  <si>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</si>
  <si>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</si>
  <si>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</si>
  <si>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</si>
  <si>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</si>
  <si>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</si>
  <si>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</si>
  <si>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</si>
  <si>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</si>
  <si>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</si>
  <si>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</si>
  <si>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</si>
  <si>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</si>
  <si>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</si>
  <si>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</si>
  <si>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</si>
  <si>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</si>
  <si>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</si>
  <si>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</si>
  <si>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</si>
  <si>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</si>
  <si>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</si>
  <si>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</si>
  <si>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</si>
  <si>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</si>
  <si>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</si>
  <si>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</si>
  <si>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</si>
  <si>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</si>
  <si>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</si>
  <si>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</si>
  <si>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</si>
  <si>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</si>
  <si>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</si>
  <si>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</si>
  <si>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</si>
  <si>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</si>
  <si>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</si>
  <si>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</si>
  <si>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</si>
  <si>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</si>
  <si>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</si>
  <si>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</si>
  <si>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</si>
  <si>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</si>
  <si>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</si>
  <si>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</si>
  <si>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</si>
  <si>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</si>
  <si>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</si>
  <si>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</si>
  <si>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</si>
  <si>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</si>
  <si>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</si>
  <si>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</si>
  <si>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</si>
  <si>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</si>
  <si>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</si>
  <si>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</si>
  <si>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</si>
  <si>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</si>
  <si>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</si>
  <si>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</si>
  <si>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</si>
  <si>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</si>
  <si>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</si>
  <si>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</si>
  <si>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</si>
  <si>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</si>
  <si>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</si>
  <si>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</si>
  <si>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</si>
  <si>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</si>
  <si>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</si>
  <si>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</si>
  <si>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</si>
  <si>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</si>
  <si>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</si>
  <si>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</si>
  <si>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</si>
  <si>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</si>
  <si>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</si>
  <si>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</si>
  <si>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</si>
  <si>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</si>
  <si>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</si>
  <si>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</si>
  <si>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</si>
  <si>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</si>
  <si>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</si>
  <si>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</si>
  <si>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</si>
  <si>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</si>
  <si>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</si>
  <si>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</si>
  <si>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</si>
  <si>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</si>
  <si>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</si>
  <si>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</si>
  <si>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</si>
  <si>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</si>
  <si>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</si>
  <si>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</si>
  <si>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</si>
  <si>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</si>
  <si>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</si>
  <si>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</si>
  <si>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</si>
  <si>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</si>
  <si>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</si>
  <si>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</si>
  <si>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</si>
  <si>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</si>
  <si>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</si>
  <si>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</si>
  <si>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</si>
  <si>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</si>
  <si>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</si>
  <si>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</si>
  <si>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</si>
  <si>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</si>
  <si>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</si>
  <si>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</si>
  <si>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</si>
  <si>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</si>
  <si>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</si>
  <si>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</si>
  <si>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</si>
  <si>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</si>
  <si>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</si>
  <si>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</si>
  <si>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</si>
  <si>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Auburn School District</t>
  </si>
  <si>
    <t>auditor rounding to whole numbers</t>
  </si>
  <si>
    <t>6/2018</t>
  </si>
  <si>
    <t>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</si>
</sst>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54"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29</v>
      </c>
      <c r="C2" s="21">
        <v>29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1457929</v>
      </c>
      <c r="G9" s="18"/>
      <c r="H9" s="18"/>
      <c r="I9" s="18">
        <v>746105</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43121</v>
      </c>
      <c r="G12" s="18">
        <v>11983</v>
      </c>
      <c r="H12" s="18"/>
      <c r="I12" s="18">
        <v>115</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19352</v>
      </c>
      <c r="G13" s="18"/>
      <c r="H13" s="18">
        <v>62755</v>
      </c>
      <c r="I13" s="18">
        <v>122000</v>
      </c>
      <c r="J13" s="67">
        <f>SUM(I443)</f>
        <v>306610.86</v>
      </c>
      <c r="K13" s="24" t="s">
        <v>288</v>
      </c>
      <c r="L13" s="24" t="s">
        <v>288</v>
      </c>
      <c r="M13" s="8"/>
      <c r="N13" s="266"/>
    </row>
    <row r="14" spans="1:14" s="3" customFormat="1" ht="12.2" customHeight="1" x14ac:dyDescent="0.15">
      <c r="A14" s="1" t="s">
        <v>565</v>
      </c>
      <c r="B14" s="2" t="s">
        <v>289</v>
      </c>
      <c r="C14" s="6">
        <v>6</v>
      </c>
      <c r="D14" s="2" t="s">
        <v>428</v>
      </c>
      <c r="E14" s="6">
        <v>150</v>
      </c>
      <c r="F14" s="18">
        <v>601</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1521003</v>
      </c>
      <c r="G19" s="41">
        <f>SUM(G9:G18)</f>
        <v>11983</v>
      </c>
      <c r="H19" s="41">
        <f>SUM(H9:H18)</f>
        <v>62755</v>
      </c>
      <c r="I19" s="41">
        <f>SUM(I9:I18)</f>
        <v>868220</v>
      </c>
      <c r="J19" s="41">
        <f>SUM(J9:J18)</f>
        <v>306610.86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12098</v>
      </c>
      <c r="G22" s="18"/>
      <c r="H22" s="18">
        <v>43121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67532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v>175137</v>
      </c>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6058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11983</v>
      </c>
      <c r="H30" s="18">
        <v>11234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85688</v>
      </c>
      <c r="G32" s="41">
        <f>SUM(G22:G31)</f>
        <v>11983</v>
      </c>
      <c r="H32" s="41">
        <f>SUM(H22:H31)</f>
        <v>54355</v>
      </c>
      <c r="I32" s="41">
        <f>SUM(I22:I31)</f>
        <v>175137</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693083</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253000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8400</v>
      </c>
      <c r="I48" s="18"/>
      <c r="J48" s="13">
        <f>SUM(I460)</f>
        <v>306610.86</v>
      </c>
      <c r="K48" s="24" t="s">
        <v>288</v>
      </c>
      <c r="L48" s="24" t="s">
        <v>288</v>
      </c>
      <c r="M48" s="8"/>
      <c r="N48" s="266"/>
    </row>
    <row r="49" spans="1:14" s="3" customFormat="1" ht="12.2" customHeight="1" x14ac:dyDescent="0.15">
      <c r="A49" s="1" t="s">
        <v>859</v>
      </c>
      <c r="B49" s="2" t="s">
        <v>289</v>
      </c>
      <c r="C49" s="6">
        <v>34</v>
      </c>
      <c r="D49" s="2"/>
      <c r="E49" s="6">
        <v>753</v>
      </c>
      <c r="F49" s="18">
        <v>385265</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797050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1435315</v>
      </c>
      <c r="G51" s="41">
        <f>SUM(G35:G50)</f>
        <v>0</v>
      </c>
      <c r="H51" s="41">
        <f>SUM(H35:H50)</f>
        <v>8400</v>
      </c>
      <c r="I51" s="41">
        <f>SUM(I35:I50)</f>
        <v>693083</v>
      </c>
      <c r="J51" s="41">
        <f>SUM(J35:J50)</f>
        <v>306610.86</v>
      </c>
      <c r="K51" s="45" t="s">
        <v>288</v>
      </c>
      <c r="L51" s="45" t="s">
        <v>288</v>
      </c>
      <c r="N51" s="264"/>
    </row>
    <row r="52" spans="1:14" s="3" customFormat="1" ht="12.2" customHeight="1" thickTop="1" x14ac:dyDescent="0.15">
      <c r="A52" s="38" t="s">
        <v>455</v>
      </c>
      <c r="B52" s="39" t="s">
        <v>289</v>
      </c>
      <c r="C52" s="6">
        <v>37</v>
      </c>
      <c r="D52" s="39" t="s">
        <v>653</v>
      </c>
      <c r="E52" s="39"/>
      <c r="F52" s="41">
        <f>F51+F32</f>
        <v>1521003</v>
      </c>
      <c r="G52" s="41">
        <f>G51+G32</f>
        <v>11983</v>
      </c>
      <c r="H52" s="41">
        <f>H51+H32</f>
        <v>62755</v>
      </c>
      <c r="I52" s="41">
        <f>I51+I32</f>
        <v>868220</v>
      </c>
      <c r="J52" s="41">
        <f>J51+J32</f>
        <v>306610.86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10626572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10626572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15306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15306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226</v>
      </c>
      <c r="G96" s="18"/>
      <c r="H96" s="18"/>
      <c r="I96" s="18">
        <v>122000</v>
      </c>
      <c r="J96" s="18">
        <v>3516.41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104372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2300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26625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36521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65672</v>
      </c>
      <c r="G111" s="41">
        <f>SUM(G96:G110)</f>
        <v>104372</v>
      </c>
      <c r="H111" s="41">
        <f>SUM(H96:H110)</f>
        <v>0</v>
      </c>
      <c r="I111" s="41">
        <f>SUM(I96:I110)</f>
        <v>122000</v>
      </c>
      <c r="J111" s="41">
        <f>SUM(J96:J110)</f>
        <v>3516.41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10707550</v>
      </c>
      <c r="G112" s="41">
        <f>G60+G111</f>
        <v>104372</v>
      </c>
      <c r="H112" s="41">
        <f>H60+H79+H94+H111</f>
        <v>0</v>
      </c>
      <c r="I112" s="41">
        <f>I60+I111</f>
        <v>122000</v>
      </c>
      <c r="J112" s="41">
        <f>J60+J111</f>
        <v>3516.41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2189774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1652389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3842163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205532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2739+170</f>
        <v>2909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205532</v>
      </c>
      <c r="G136" s="41">
        <f>SUM(G123:G135)</f>
        <v>2909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4047695</v>
      </c>
      <c r="G140" s="41">
        <f>G121+SUM(G136:G137)</f>
        <v>2909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28134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6807+25826+9210+1800+13767</f>
        <v>57410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20232+7309+1694</f>
        <v>29235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7674+66702+32241</f>
        <v>106617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1944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1944</v>
      </c>
      <c r="G163" s="41">
        <f>SUM(G150:G162)</f>
        <v>29235</v>
      </c>
      <c r="H163" s="41">
        <f>SUM(H150:H162)</f>
        <v>192161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f>1733+8400</f>
        <v>10133</v>
      </c>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1944</v>
      </c>
      <c r="G170" s="41">
        <f>G147+G163+SUM(G164:G169)</f>
        <v>29235</v>
      </c>
      <c r="H170" s="41">
        <f>H147+H163+SUM(H164:H169)</f>
        <v>202294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v>54773</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54773</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3819</v>
      </c>
      <c r="H180" s="18"/>
      <c r="I180" s="18"/>
      <c r="J180" s="18">
        <v>15000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3819</v>
      </c>
      <c r="H184" s="41">
        <f>SUM(H180:H183)</f>
        <v>0</v>
      </c>
      <c r="I184" s="41">
        <f>SUM(I180:I183)</f>
        <v>0</v>
      </c>
      <c r="J184" s="41">
        <f>SUM(J180:J183)</f>
        <v>15000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3819</v>
      </c>
      <c r="H193" s="41">
        <f>+H184+SUM(H189:H192)</f>
        <v>0</v>
      </c>
      <c r="I193" s="41">
        <f>I178+I184+SUM(I189:I192)</f>
        <v>54773</v>
      </c>
      <c r="J193" s="41">
        <f>J184</f>
        <v>15000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14757189</v>
      </c>
      <c r="G194" s="47">
        <f>G112+G140+G170+G193</f>
        <v>140335</v>
      </c>
      <c r="H194" s="47">
        <f>H112+H140+H170+H193</f>
        <v>202294</v>
      </c>
      <c r="I194" s="47">
        <f>I112+I140+I170+I193</f>
        <v>176773</v>
      </c>
      <c r="J194" s="47">
        <f>J112+J140+J193</f>
        <v>18516.41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2394972.8199999998</v>
      </c>
      <c r="G198" s="18">
        <v>1228781.3500000001</v>
      </c>
      <c r="H198" s="18">
        <v>2205</v>
      </c>
      <c r="I198" s="18">
        <v>96081.9</v>
      </c>
      <c r="J198" s="18">
        <v>18741.25</v>
      </c>
      <c r="K198" s="18">
        <v>100</v>
      </c>
      <c r="L198" s="19">
        <f>SUM(F198:K198)</f>
        <v>3740882.32</v>
      </c>
      <c r="M198" s="8"/>
      <c r="N198" s="266"/>
    </row>
    <row r="199" spans="1:14" s="3" customFormat="1" ht="12.2" customHeight="1" x14ac:dyDescent="0.15">
      <c r="A199" s="1" t="s">
        <v>439</v>
      </c>
      <c r="B199" s="2" t="s">
        <v>341</v>
      </c>
      <c r="C199" s="2" t="s">
        <v>291</v>
      </c>
      <c r="D199" s="2" t="s">
        <v>431</v>
      </c>
      <c r="E199" s="6">
        <v>1200</v>
      </c>
      <c r="F199" s="18">
        <f>475644.01+12721.69+11277.36</f>
        <v>499643.06</v>
      </c>
      <c r="G199" s="18">
        <f>237953.52+2219.53+938</f>
        <v>241111.05</v>
      </c>
      <c r="H199" s="18">
        <f>132938.71+32858.86+560+29755.41+2745.88+2835+18636.38</f>
        <v>220330.24000000002</v>
      </c>
      <c r="I199" s="18">
        <f>1142.52</f>
        <v>1142.52</v>
      </c>
      <c r="J199" s="18">
        <f>161.25</f>
        <v>161.25</v>
      </c>
      <c r="K199" s="18">
        <v>730</v>
      </c>
      <c r="L199" s="19">
        <f>SUM(F199:K199)</f>
        <v>963118.12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16024+11700+13923.96</f>
        <v>41647.96</v>
      </c>
      <c r="G201" s="18">
        <f>3528.8+1480.54+2932.93</f>
        <v>7942.27</v>
      </c>
      <c r="H201" s="18">
        <f>3807</f>
        <v>3807</v>
      </c>
      <c r="I201" s="18">
        <f>1916.31+1011.41+157.04</f>
        <v>3084.7599999999998</v>
      </c>
      <c r="J201" s="18">
        <f>4589.95</f>
        <v>4589.95</v>
      </c>
      <c r="K201" s="18">
        <v>775</v>
      </c>
      <c r="L201" s="19">
        <f>SUM(F201:K201)</f>
        <v>61846.939999999995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111396.27+51520.5+113147+68682</f>
        <v>344745.77</v>
      </c>
      <c r="G203" s="18">
        <f>44914.81+37212.9+48178.11+27760.7</f>
        <v>158066.51999999999</v>
      </c>
      <c r="H203" s="18">
        <f>1410+693.75+57743.25+11478.96+7457.53+14084.86</f>
        <v>92868.349999999991</v>
      </c>
      <c r="I203" s="18">
        <f>23430.52+1776.81+1244.04</f>
        <v>26451.370000000003</v>
      </c>
      <c r="J203" s="18">
        <v>379.99</v>
      </c>
      <c r="K203" s="18">
        <f>179</f>
        <v>179</v>
      </c>
      <c r="L203" s="19">
        <f t="shared" ref="L203:L209" si="0">SUM(F203:K203)</f>
        <v>622691</v>
      </c>
      <c r="M203" s="8"/>
      <c r="N203" s="266"/>
    </row>
    <row r="204" spans="1:14" s="3" customFormat="1" ht="12.2" customHeight="1" x14ac:dyDescent="0.15">
      <c r="A204" s="1" t="s">
        <v>443</v>
      </c>
      <c r="B204" s="2" t="s">
        <v>341</v>
      </c>
      <c r="C204" s="2" t="s">
        <v>295</v>
      </c>
      <c r="D204" s="2" t="s">
        <v>431</v>
      </c>
      <c r="E204" s="6">
        <v>2200</v>
      </c>
      <c r="F204" s="18">
        <f>79590.6+92713.61</f>
        <v>172304.21000000002</v>
      </c>
      <c r="G204" s="18">
        <f>52155.81+30810.66</f>
        <v>82966.47</v>
      </c>
      <c r="H204" s="18">
        <f>500+1056.05</f>
        <v>1556.05</v>
      </c>
      <c r="I204" s="18">
        <v>11507.81</v>
      </c>
      <c r="J204" s="18"/>
      <c r="K204" s="18"/>
      <c r="L204" s="19">
        <f t="shared" si="0"/>
        <v>268334.54000000004</v>
      </c>
      <c r="M204" s="8"/>
      <c r="N204" s="266"/>
    </row>
    <row r="205" spans="1:14" s="3" customFormat="1" ht="12.2" customHeight="1" x14ac:dyDescent="0.15">
      <c r="A205" s="1" t="s">
        <v>444</v>
      </c>
      <c r="B205" s="2" t="s">
        <v>341</v>
      </c>
      <c r="C205" s="2" t="s">
        <v>296</v>
      </c>
      <c r="D205" s="2" t="s">
        <v>431</v>
      </c>
      <c r="E205" s="6">
        <v>2300</v>
      </c>
      <c r="F205" s="18">
        <v>10200</v>
      </c>
      <c r="G205" s="18">
        <v>981.5</v>
      </c>
      <c r="H205" s="18">
        <f>47591.3+299886</f>
        <v>347477.3</v>
      </c>
      <c r="I205" s="18">
        <v>249.55</v>
      </c>
      <c r="J205" s="18"/>
      <c r="K205" s="18">
        <v>3942.64</v>
      </c>
      <c r="L205" s="19">
        <f t="shared" si="0"/>
        <v>362850.99</v>
      </c>
      <c r="M205" s="8"/>
      <c r="N205" s="266"/>
    </row>
    <row r="206" spans="1:14" s="3" customFormat="1" ht="12.2" customHeight="1" x14ac:dyDescent="0.15">
      <c r="A206" s="1" t="s">
        <v>445</v>
      </c>
      <c r="B206" s="2" t="s">
        <v>341</v>
      </c>
      <c r="C206" s="2" t="s">
        <v>297</v>
      </c>
      <c r="D206" s="2" t="s">
        <v>431</v>
      </c>
      <c r="E206" s="6">
        <v>2400</v>
      </c>
      <c r="F206" s="18">
        <v>255164.92</v>
      </c>
      <c r="G206" s="18">
        <v>113894.72</v>
      </c>
      <c r="H206" s="18">
        <f>48583.94+29240.98</f>
        <v>77824.92</v>
      </c>
      <c r="I206" s="18">
        <v>3012.13</v>
      </c>
      <c r="J206" s="18">
        <v>1083.95</v>
      </c>
      <c r="K206" s="18">
        <v>737</v>
      </c>
      <c r="L206" s="19">
        <f t="shared" si="0"/>
        <v>451717.64</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187930.75</v>
      </c>
      <c r="G208" s="18">
        <v>80058.75</v>
      </c>
      <c r="H208" s="18">
        <f>3944+72465.73+23215.97</f>
        <v>99625.7</v>
      </c>
      <c r="I208" s="18">
        <v>147560.07</v>
      </c>
      <c r="J208" s="18">
        <v>1033.49</v>
      </c>
      <c r="K208" s="18"/>
      <c r="L208" s="19">
        <f t="shared" si="0"/>
        <v>516208.76</v>
      </c>
      <c r="M208" s="8"/>
      <c r="N208" s="266"/>
    </row>
    <row r="209" spans="1:14" s="3" customFormat="1" ht="12.2" customHeight="1" x14ac:dyDescent="0.15">
      <c r="A209" s="1" t="s">
        <v>448</v>
      </c>
      <c r="B209" s="2" t="s">
        <v>341</v>
      </c>
      <c r="C209" s="2" t="s">
        <v>300</v>
      </c>
      <c r="D209" s="2" t="s">
        <v>431</v>
      </c>
      <c r="E209" s="6">
        <v>2700</v>
      </c>
      <c r="F209" s="18"/>
      <c r="G209" s="18"/>
      <c r="H209" s="18">
        <v>470309.85</v>
      </c>
      <c r="I209" s="18"/>
      <c r="J209" s="18"/>
      <c r="K209" s="18"/>
      <c r="L209" s="19">
        <f t="shared" si="0"/>
        <v>470309.85</v>
      </c>
      <c r="M209" s="8"/>
      <c r="N209" s="266"/>
    </row>
    <row r="210" spans="1:14" s="3" customFormat="1" ht="12.2" customHeight="1" x14ac:dyDescent="0.15">
      <c r="A210" s="1" t="s">
        <v>449</v>
      </c>
      <c r="B210" s="2" t="s">
        <v>341</v>
      </c>
      <c r="C210" s="2" t="s">
        <v>343</v>
      </c>
      <c r="D210" s="2" t="s">
        <v>431</v>
      </c>
      <c r="E210" s="6">
        <v>2800</v>
      </c>
      <c r="F210" s="18">
        <v>73940</v>
      </c>
      <c r="G210" s="18">
        <v>33838.71</v>
      </c>
      <c r="H210" s="18">
        <f>12601.94+500</f>
        <v>13101.94</v>
      </c>
      <c r="I210" s="18">
        <v>16841</v>
      </c>
      <c r="J210" s="18">
        <v>40955.800000000003</v>
      </c>
      <c r="K210" s="18">
        <v>340</v>
      </c>
      <c r="L210" s="19">
        <f>SUM(F210:K210)</f>
        <v>179017.45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3980549.4899999998</v>
      </c>
      <c r="G212" s="41">
        <f t="shared" si="1"/>
        <v>1947641.34</v>
      </c>
      <c r="H212" s="41">
        <f t="shared" si="1"/>
        <v>1329106.3499999999</v>
      </c>
      <c r="I212" s="41">
        <f t="shared" si="1"/>
        <v>305931.11</v>
      </c>
      <c r="J212" s="41">
        <f t="shared" si="1"/>
        <v>66945.680000000008</v>
      </c>
      <c r="K212" s="41">
        <f t="shared" si="1"/>
        <v>6803.6399999999994</v>
      </c>
      <c r="L212" s="41">
        <f t="shared" si="1"/>
        <v>7636977.6099999994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f>5368+115558.7</f>
        <v>120926.7</v>
      </c>
      <c r="I217" s="18"/>
      <c r="J217" s="18"/>
      <c r="K217" s="18"/>
      <c r="L217" s="19">
        <f>SUM(F217:K217)</f>
        <v>120926.7</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120926.7</v>
      </c>
      <c r="I230" s="41">
        <f>SUM(I216:I229)</f>
        <v>0</v>
      </c>
      <c r="J230" s="41">
        <f>SUM(J216:J229)</f>
        <v>0</v>
      </c>
      <c r="K230" s="41">
        <f t="shared" si="3"/>
        <v>0</v>
      </c>
      <c r="L230" s="41">
        <f t="shared" si="3"/>
        <v>120926.7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3211960.65</f>
        <v>3211960.65</v>
      </c>
      <c r="I234" s="18"/>
      <c r="J234" s="18"/>
      <c r="K234" s="18"/>
      <c r="L234" s="19">
        <f>SUM(F234:K234)</f>
        <v>3211960.65</v>
      </c>
      <c r="M234" s="8"/>
      <c r="N234" s="266"/>
    </row>
    <row r="235" spans="1:14" s="3" customFormat="1" ht="12.2" customHeight="1" x14ac:dyDescent="0.15">
      <c r="A235" s="1" t="s">
        <v>439</v>
      </c>
      <c r="B235" s="2" t="s">
        <v>350</v>
      </c>
      <c r="C235" s="2" t="s">
        <v>291</v>
      </c>
      <c r="D235" s="2" t="s">
        <v>431</v>
      </c>
      <c r="E235" s="6">
        <v>1200</v>
      </c>
      <c r="F235" s="18"/>
      <c r="G235" s="18"/>
      <c r="H235" s="18">
        <f>10972+824446.34+584767.46+67435.69+14388.75</f>
        <v>1502010.2399999998</v>
      </c>
      <c r="I235" s="18"/>
      <c r="J235" s="18"/>
      <c r="K235" s="18"/>
      <c r="L235" s="19">
        <f>SUM(F235:K235)</f>
        <v>1502010.2399999998</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f>5114.6+6114.86+6126.12</f>
        <v>17355.579999999998</v>
      </c>
      <c r="I239" s="18"/>
      <c r="J239" s="18"/>
      <c r="K239" s="18"/>
      <c r="L239" s="19">
        <f t="shared" ref="L239:L245" si="4">SUM(F239:K239)</f>
        <v>17355.579999999998</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229859.29</v>
      </c>
      <c r="I245" s="18"/>
      <c r="J245" s="18"/>
      <c r="K245" s="18"/>
      <c r="L245" s="19">
        <f t="shared" si="4"/>
        <v>229859.29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4961185.76</v>
      </c>
      <c r="I248" s="41">
        <f t="shared" si="5"/>
        <v>0</v>
      </c>
      <c r="J248" s="41">
        <f t="shared" si="5"/>
        <v>0</v>
      </c>
      <c r="K248" s="41">
        <f t="shared" si="5"/>
        <v>0</v>
      </c>
      <c r="L248" s="41">
        <f t="shared" si="5"/>
        <v>4961185.76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3980549.4899999998</v>
      </c>
      <c r="G258" s="41">
        <f t="shared" si="8"/>
        <v>1947641.34</v>
      </c>
      <c r="H258" s="41">
        <f t="shared" si="8"/>
        <v>6411218.8099999996</v>
      </c>
      <c r="I258" s="41">
        <f t="shared" si="8"/>
        <v>305931.11</v>
      </c>
      <c r="J258" s="41">
        <f t="shared" si="8"/>
        <v>66945.680000000008</v>
      </c>
      <c r="K258" s="41">
        <f t="shared" si="8"/>
        <v>6803.6399999999994</v>
      </c>
      <c r="L258" s="41">
        <f t="shared" si="8"/>
        <v>12719090.07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606000</v>
      </c>
      <c r="L261" s="19">
        <f>SUM(F261:K261)</f>
        <v>606000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569325.5</v>
      </c>
      <c r="L262" s="19">
        <f>SUM(F262:K262)</f>
        <v>569325.5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3819</v>
      </c>
      <c r="L264" s="19">
        <f>SUM(F264:K264)</f>
        <v>3819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v>
      </c>
      <c r="L267" s="19">
        <f t="shared" si="9"/>
        <v>15000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1194144.5</v>
      </c>
      <c r="L271" s="41">
        <f t="shared" si="9"/>
        <v>1194144.5</v>
      </c>
      <c r="M271" s="8"/>
      <c r="N271" s="266"/>
    </row>
    <row r="272" spans="1:14" s="34" customFormat="1" ht="12.2" customHeight="1" thickTop="1" x14ac:dyDescent="0.2">
      <c r="A272" s="43" t="s">
        <v>464</v>
      </c>
      <c r="B272" s="40">
        <v>10</v>
      </c>
      <c r="C272" s="40">
        <v>18</v>
      </c>
      <c r="D272" s="39" t="s">
        <v>431</v>
      </c>
      <c r="E272" s="40"/>
      <c r="F272" s="42">
        <f t="shared" ref="F272:L272" si="11">F258+F271</f>
        <v>3980549.4899999998</v>
      </c>
      <c r="G272" s="42">
        <f t="shared" si="11"/>
        <v>1947641.34</v>
      </c>
      <c r="H272" s="42">
        <f t="shared" si="11"/>
        <v>6411218.8099999996</v>
      </c>
      <c r="I272" s="42">
        <f t="shared" si="11"/>
        <v>305931.11</v>
      </c>
      <c r="J272" s="42">
        <f t="shared" si="11"/>
        <v>66945.680000000008</v>
      </c>
      <c r="K272" s="42">
        <f t="shared" si="11"/>
        <v>1200948.1399999999</v>
      </c>
      <c r="L272" s="42">
        <f t="shared" si="11"/>
        <v>13913234.57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21858.17</v>
      </c>
      <c r="G277" s="18">
        <f>1469.45+3890.8</f>
        <v>5360.25</v>
      </c>
      <c r="H277" s="18"/>
      <c r="I277" s="18">
        <f>916+1592.51+7750</f>
        <v>10258.51</v>
      </c>
      <c r="J277" s="18">
        <v>1500</v>
      </c>
      <c r="K277" s="18"/>
      <c r="L277" s="19">
        <f>SUM(F277:K277)</f>
        <v>38976.93</v>
      </c>
      <c r="M277" s="8"/>
      <c r="N277" s="266"/>
    </row>
    <row r="278" spans="1:14" s="3" customFormat="1" ht="12.2" customHeight="1" x14ac:dyDescent="0.15">
      <c r="A278" s="1" t="s">
        <v>439</v>
      </c>
      <c r="B278" s="2" t="s">
        <v>357</v>
      </c>
      <c r="C278" s="2" t="s">
        <v>291</v>
      </c>
      <c r="D278" s="2" t="s">
        <v>431</v>
      </c>
      <c r="E278" s="6">
        <v>1200</v>
      </c>
      <c r="F278" s="18"/>
      <c r="G278" s="18"/>
      <c r="H278" s="18">
        <v>7464.62</v>
      </c>
      <c r="I278" s="18"/>
      <c r="J278" s="18"/>
      <c r="K278" s="18"/>
      <c r="L278" s="19">
        <f>SUM(F278:K278)</f>
        <v>7464.62</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v>1800</v>
      </c>
      <c r="I280" s="18">
        <v>1732.5</v>
      </c>
      <c r="J280" s="18"/>
      <c r="K280" s="18"/>
      <c r="L280" s="19">
        <f>SUM(F280:K280)</f>
        <v>3532.5</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11758+43096+18296.85</f>
        <v>73150.850000000006</v>
      </c>
      <c r="G282" s="18">
        <f>3983.44+7671.04+1399.64</f>
        <v>13054.119999999999</v>
      </c>
      <c r="H282" s="18">
        <v>2880</v>
      </c>
      <c r="I282" s="18">
        <f>349.8+5400</f>
        <v>5749.8</v>
      </c>
      <c r="J282" s="18"/>
      <c r="K282" s="18"/>
      <c r="L282" s="19">
        <f t="shared" ref="L282:L288" si="12">SUM(F282:K282)</f>
        <v>94834.77</v>
      </c>
      <c r="M282" s="8"/>
      <c r="N282" s="266"/>
    </row>
    <row r="283" spans="1:14" s="3" customFormat="1" ht="12.2" customHeight="1" x14ac:dyDescent="0.15">
      <c r="A283" s="1" t="s">
        <v>443</v>
      </c>
      <c r="B283" s="2" t="s">
        <v>357</v>
      </c>
      <c r="C283" s="2" t="s">
        <v>295</v>
      </c>
      <c r="D283" s="2" t="s">
        <v>431</v>
      </c>
      <c r="E283" s="6">
        <v>2200</v>
      </c>
      <c r="F283" s="18">
        <f>4322.51+600+4597.25+1000+706.3-0.71</f>
        <v>11225.35</v>
      </c>
      <c r="G283" s="18">
        <f>313.95+345.62+44.14+6.23+673.07+713.12+53.4+76.5+178+53.06+80.1</f>
        <v>2537.19</v>
      </c>
      <c r="H283" s="18">
        <f>60+7227+500+194.25+2875+3554.5+602.03+3745.5</f>
        <v>18758.28</v>
      </c>
      <c r="I283" s="18">
        <f>378+1320+2515.2+1261.88+360</f>
        <v>5835.08</v>
      </c>
      <c r="J283" s="18"/>
      <c r="K283" s="18">
        <f>209.91+185.41</f>
        <v>395.32</v>
      </c>
      <c r="L283" s="19">
        <f t="shared" si="12"/>
        <v>38751.22</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f>839.66+988.23</f>
        <v>1827.8899999999999</v>
      </c>
      <c r="J289" s="18">
        <f>1781.55+6724.52</f>
        <v>8506.07</v>
      </c>
      <c r="K289" s="18"/>
      <c r="L289" s="19">
        <f>SUM(F289:K289)</f>
        <v>10333.959999999999</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106234.37000000001</v>
      </c>
      <c r="G291" s="42">
        <f t="shared" si="13"/>
        <v>20951.559999999998</v>
      </c>
      <c r="H291" s="42">
        <f t="shared" si="13"/>
        <v>30902.899999999998</v>
      </c>
      <c r="I291" s="42">
        <f t="shared" si="13"/>
        <v>25403.78</v>
      </c>
      <c r="J291" s="42">
        <f t="shared" si="13"/>
        <v>10006.07</v>
      </c>
      <c r="K291" s="42">
        <f t="shared" si="13"/>
        <v>395.32</v>
      </c>
      <c r="L291" s="41">
        <f t="shared" si="13"/>
        <v>193894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106234.37000000001</v>
      </c>
      <c r="G339" s="41">
        <f t="shared" si="20"/>
        <v>20951.559999999998</v>
      </c>
      <c r="H339" s="41">
        <f t="shared" si="20"/>
        <v>30902.899999999998</v>
      </c>
      <c r="I339" s="41">
        <f t="shared" si="20"/>
        <v>25403.78</v>
      </c>
      <c r="J339" s="41">
        <f t="shared" si="20"/>
        <v>10006.07</v>
      </c>
      <c r="K339" s="41">
        <f t="shared" si="20"/>
        <v>395.32</v>
      </c>
      <c r="L339" s="41">
        <f t="shared" si="20"/>
        <v>193894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106234.37000000001</v>
      </c>
      <c r="G353" s="41">
        <f>G339</f>
        <v>20951.559999999998</v>
      </c>
      <c r="H353" s="41">
        <f>H339</f>
        <v>30902.899999999998</v>
      </c>
      <c r="I353" s="41">
        <f>I339</f>
        <v>25403.78</v>
      </c>
      <c r="J353" s="41">
        <f>J339</f>
        <v>10006.07</v>
      </c>
      <c r="K353" s="47">
        <f>K339+K352</f>
        <v>395.32</v>
      </c>
      <c r="L353" s="41">
        <f>L339+L352</f>
        <v>193894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75598</v>
      </c>
      <c r="G359" s="18">
        <f>9790+495+23+96+5733+3992+89</f>
        <v>20218</v>
      </c>
      <c r="H359" s="18">
        <f>1294+700+436</f>
        <v>2430</v>
      </c>
      <c r="I359" s="18">
        <f>53287+7309+1679+7891</f>
        <v>70166</v>
      </c>
      <c r="J359" s="18"/>
      <c r="K359" s="18">
        <v>64676</v>
      </c>
      <c r="L359" s="13">
        <f>SUM(F359:K359)</f>
        <v>233088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75598</v>
      </c>
      <c r="G363" s="47">
        <f t="shared" si="22"/>
        <v>20218</v>
      </c>
      <c r="H363" s="47">
        <f t="shared" si="22"/>
        <v>2430</v>
      </c>
      <c r="I363" s="47">
        <f t="shared" si="22"/>
        <v>70166</v>
      </c>
      <c r="J363" s="47">
        <f t="shared" si="22"/>
        <v>0</v>
      </c>
      <c r="K363" s="47">
        <f t="shared" si="22"/>
        <v>64676</v>
      </c>
      <c r="L363" s="47">
        <f t="shared" si="22"/>
        <v>233088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53287+7309</f>
        <v>60596</v>
      </c>
      <c r="G368" s="18"/>
      <c r="H368" s="18"/>
      <c r="I368" s="56">
        <f>SUM(F368:H368)</f>
        <v>60596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7891+1679</f>
        <v>9570</v>
      </c>
      <c r="G369" s="63"/>
      <c r="H369" s="63"/>
      <c r="I369" s="56">
        <f>SUM(F369:H369)</f>
        <v>9570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70166</v>
      </c>
      <c r="G370" s="47">
        <f>SUM(G368:G369)</f>
        <v>0</v>
      </c>
      <c r="H370" s="47">
        <f>SUM(H368:H369)</f>
        <v>0</v>
      </c>
      <c r="I370" s="47">
        <f>SUM(I368:I369)</f>
        <v>70166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v>61298</v>
      </c>
      <c r="I377" s="18"/>
      <c r="J377" s="18"/>
      <c r="K377" s="18"/>
      <c r="L377" s="13">
        <f t="shared" si="23"/>
        <v>61298</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f>23400+5658088</f>
        <v>5681488</v>
      </c>
      <c r="I380" s="18"/>
      <c r="J380" s="18"/>
      <c r="K380" s="18"/>
      <c r="L380" s="13">
        <f t="shared" si="23"/>
        <v>5681488</v>
      </c>
      <c r="M380" s="8"/>
      <c r="N380" s="266"/>
    </row>
    <row r="381" spans="1:14" s="3" customFormat="1" ht="12.2" customHeight="1" x14ac:dyDescent="0.15">
      <c r="A381" s="1" t="s">
        <v>510</v>
      </c>
      <c r="B381" s="2" t="s">
        <v>366</v>
      </c>
      <c r="C381" s="2" t="s">
        <v>347</v>
      </c>
      <c r="D381" s="2" t="s">
        <v>431</v>
      </c>
      <c r="E381" s="6">
        <v>4900</v>
      </c>
      <c r="F381" s="18"/>
      <c r="G381" s="18"/>
      <c r="H381" s="18">
        <v>73604</v>
      </c>
      <c r="I381" s="18">
        <f>26283+7621</f>
        <v>33904</v>
      </c>
      <c r="J381" s="18">
        <f>29384+52457+109293</f>
        <v>191134</v>
      </c>
      <c r="K381" s="18"/>
      <c r="L381" s="13">
        <f t="shared" si="23"/>
        <v>298642</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5816390</v>
      </c>
      <c r="I383" s="41">
        <f t="shared" si="24"/>
        <v>33904</v>
      </c>
      <c r="J383" s="47">
        <f t="shared" si="24"/>
        <v>191134</v>
      </c>
      <c r="K383" s="47">
        <f t="shared" si="24"/>
        <v>0</v>
      </c>
      <c r="L383" s="47">
        <f t="shared" si="24"/>
        <v>6041428</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v>15000</v>
      </c>
      <c r="H389" s="18">
        <v>1671.04</v>
      </c>
      <c r="I389" s="18"/>
      <c r="J389" s="24" t="s">
        <v>288</v>
      </c>
      <c r="K389" s="24" t="s">
        <v>288</v>
      </c>
      <c r="L389" s="56">
        <f t="shared" si="25"/>
        <v>16671.04</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15000</v>
      </c>
      <c r="H394" s="139">
        <f>SUM(H388:H393)</f>
        <v>1671.04</v>
      </c>
      <c r="I394" s="65">
        <f>SUM(I388:I393)</f>
        <v>0</v>
      </c>
      <c r="J394" s="45" t="s">
        <v>288</v>
      </c>
      <c r="K394" s="45" t="s">
        <v>288</v>
      </c>
      <c r="L394" s="47">
        <f>SUM(L388:L393)</f>
        <v>16671.04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1845.37</v>
      </c>
      <c r="I398" s="18"/>
      <c r="J398" s="24" t="s">
        <v>288</v>
      </c>
      <c r="K398" s="24" t="s">
        <v>288</v>
      </c>
      <c r="L398" s="56">
        <f t="shared" si="26"/>
        <v>1845.37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1845.37</v>
      </c>
      <c r="I402" s="47">
        <f>SUM(I396:I401)</f>
        <v>0</v>
      </c>
      <c r="J402" s="45" t="s">
        <v>288</v>
      </c>
      <c r="K402" s="45" t="s">
        <v>288</v>
      </c>
      <c r="L402" s="47">
        <f>SUM(L396:L401)</f>
        <v>1845.37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15000</v>
      </c>
      <c r="H409" s="47">
        <f>H394+H402+H408</f>
        <v>3516.41</v>
      </c>
      <c r="I409" s="47">
        <f>I394+I402+I408</f>
        <v>0</v>
      </c>
      <c r="J409" s="24" t="s">
        <v>288</v>
      </c>
      <c r="K409" s="24" t="s">
        <v>288</v>
      </c>
      <c r="L409" s="47">
        <f>L394+L402+L408</f>
        <v>18516.41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306610.86</v>
      </c>
      <c r="H443" s="18"/>
      <c r="I443" s="56">
        <f t="shared" si="33"/>
        <v>306610.86</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306610.86</v>
      </c>
      <c r="H447" s="13">
        <f>SUM(H440:H446)</f>
        <v>0</v>
      </c>
      <c r="I447" s="13">
        <f>SUM(I440:I446)</f>
        <v>306610.86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306610.86</v>
      </c>
      <c r="H460" s="18"/>
      <c r="I460" s="56">
        <f t="shared" si="34"/>
        <v>306610.86</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306610.86</v>
      </c>
      <c r="H461" s="83">
        <f>SUM(H455:H460)</f>
        <v>0</v>
      </c>
      <c r="I461" s="83">
        <f>SUM(I455:I460)</f>
        <v>306610.86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306610.86</v>
      </c>
      <c r="H462" s="42">
        <f>H453+H461</f>
        <v>0</v>
      </c>
      <c r="I462" s="42">
        <f>I453+I461</f>
        <v>306610.86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591360.68999999994</v>
      </c>
      <c r="G466" s="18">
        <v>92752.56</v>
      </c>
      <c r="H466" s="18"/>
      <c r="I466" s="18">
        <v>6557738.04</v>
      </c>
      <c r="J466" s="18">
        <v>288094.45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14757189</v>
      </c>
      <c r="G469" s="18">
        <v>140335</v>
      </c>
      <c r="H469" s="18">
        <v>202294</v>
      </c>
      <c r="I469" s="18">
        <v>176773</v>
      </c>
      <c r="J469" s="18">
        <v>18516.41</v>
      </c>
      <c r="K469" s="24" t="s">
        <v>288</v>
      </c>
      <c r="L469" s="24" t="s">
        <v>288</v>
      </c>
      <c r="N469" s="265"/>
    </row>
    <row r="470" spans="1:14" s="52" customFormat="1" ht="12.2" customHeight="1" x14ac:dyDescent="0.2">
      <c r="A470" s="93" t="s">
        <v>611</v>
      </c>
      <c r="B470" s="75">
        <v>19</v>
      </c>
      <c r="C470" s="80">
        <v>3</v>
      </c>
      <c r="D470" s="2" t="s">
        <v>432</v>
      </c>
      <c r="E470" s="80"/>
      <c r="F470" s="18"/>
      <c r="G470" s="18">
        <v>0.44</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14757189</v>
      </c>
      <c r="G471" s="53">
        <f>SUM(G469:G470)</f>
        <v>140335.44</v>
      </c>
      <c r="H471" s="53">
        <f>SUM(H469:H470)</f>
        <v>202294</v>
      </c>
      <c r="I471" s="53">
        <f>SUM(I469:I470)</f>
        <v>176773</v>
      </c>
      <c r="J471" s="53">
        <f>SUM(J469:J470)</f>
        <v>18516.41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13913234.57</v>
      </c>
      <c r="G473" s="18">
        <v>233088</v>
      </c>
      <c r="H473" s="18">
        <v>193894</v>
      </c>
      <c r="I473" s="18">
        <v>6041428</v>
      </c>
      <c r="J473" s="18">
        <v>0</v>
      </c>
      <c r="K473" s="24" t="s">
        <v>288</v>
      </c>
      <c r="L473" s="24" t="s">
        <v>288</v>
      </c>
      <c r="N473" s="265"/>
    </row>
    <row r="474" spans="1:14" s="52" customFormat="1" ht="12.2" customHeight="1" x14ac:dyDescent="0.2">
      <c r="A474" s="93" t="s">
        <v>613</v>
      </c>
      <c r="B474" s="75">
        <v>19</v>
      </c>
      <c r="C474" s="80">
        <v>6</v>
      </c>
      <c r="D474" s="2" t="s">
        <v>432</v>
      </c>
      <c r="E474" s="80"/>
      <c r="F474" s="18">
        <v>0.12</v>
      </c>
      <c r="G474" s="18"/>
      <c r="H474" s="18"/>
      <c r="I474" s="18">
        <v>0.04</v>
      </c>
      <c r="J474" s="18"/>
      <c r="K474" s="24" t="s">
        <v>288</v>
      </c>
      <c r="L474" s="24" t="s">
        <v>288</v>
      </c>
      <c r="N474" s="265"/>
    </row>
    <row r="475" spans="1:14" s="52" customFormat="1" ht="12.2" customHeight="1" x14ac:dyDescent="0.2">
      <c r="A475" s="92" t="s">
        <v>426</v>
      </c>
      <c r="B475" s="75">
        <v>19</v>
      </c>
      <c r="C475" s="80">
        <v>7</v>
      </c>
      <c r="D475" s="2" t="s">
        <v>432</v>
      </c>
      <c r="E475" s="80"/>
      <c r="F475" s="53">
        <f>SUM(F473:F474)</f>
        <v>13913234.689999999</v>
      </c>
      <c r="G475" s="53">
        <f>SUM(G473:G474)</f>
        <v>233088</v>
      </c>
      <c r="H475" s="53">
        <f>SUM(H473:H474)</f>
        <v>193894</v>
      </c>
      <c r="I475" s="53">
        <f>SUM(I473:I474)</f>
        <v>6041428.04</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1435315</v>
      </c>
      <c r="G477" s="53">
        <f>(G466+G471)- G475</f>
        <v>0</v>
      </c>
      <c r="H477" s="53">
        <f>(H466+H471)- H475</f>
        <v>8400</v>
      </c>
      <c r="I477" s="53">
        <f>(I466+I471)- I475</f>
        <v>693083</v>
      </c>
      <c r="J477" s="53">
        <f>(J466+J471)- J475</f>
        <v>306610.86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1643</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8" t="s">
        <v>1643</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1645</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14300000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12535000</v>
      </c>
      <c r="G496" s="18"/>
      <c r="H496" s="18"/>
      <c r="I496" s="18"/>
      <c r="J496" s="18"/>
      <c r="K496" s="53">
        <f>SUM(F496:J496)</f>
        <v>12535000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12535000</v>
      </c>
      <c r="G499" s="204"/>
      <c r="H499" s="204"/>
      <c r="I499" s="204"/>
      <c r="J499" s="204"/>
      <c r="K499" s="205">
        <f t="shared" si="35"/>
        <v>12535000</v>
      </c>
      <c r="L499" s="206" t="s">
        <v>288</v>
      </c>
      <c r="N499" s="265"/>
    </row>
    <row r="500" spans="1:14" s="52" customFormat="1" ht="12.2" customHeight="1" thickBot="1" x14ac:dyDescent="0.25">
      <c r="A500" s="22" t="s">
        <v>623</v>
      </c>
      <c r="B500" s="75">
        <v>20</v>
      </c>
      <c r="C500" s="115">
        <v>10</v>
      </c>
      <c r="D500" s="2" t="s">
        <v>432</v>
      </c>
      <c r="E500" s="115"/>
      <c r="F500" s="18">
        <v>3930808.75</v>
      </c>
      <c r="G500" s="18"/>
      <c r="H500" s="18"/>
      <c r="I500" s="18"/>
      <c r="J500" s="18"/>
      <c r="K500" s="53">
        <f t="shared" si="35"/>
        <v>3930808.75</v>
      </c>
      <c r="L500" s="24" t="s">
        <v>288</v>
      </c>
      <c r="N500" s="265"/>
    </row>
    <row r="501" spans="1:14" s="52" customFormat="1" ht="12.2" customHeight="1" thickTop="1" x14ac:dyDescent="0.2">
      <c r="A501" s="139" t="s">
        <v>624</v>
      </c>
      <c r="B501" s="44">
        <v>20</v>
      </c>
      <c r="C501" s="195">
        <v>11</v>
      </c>
      <c r="D501" s="39" t="s">
        <v>432</v>
      </c>
      <c r="E501" s="195"/>
      <c r="F501" s="42">
        <f>SUM(F499:F500)</f>
        <v>16465808.75</v>
      </c>
      <c r="G501" s="42">
        <f>SUM(G499:G500)</f>
        <v>0</v>
      </c>
      <c r="H501" s="42">
        <f>SUM(H499:H500)</f>
        <v>0</v>
      </c>
      <c r="I501" s="42">
        <f>SUM(I499:I500)</f>
        <v>0</v>
      </c>
      <c r="J501" s="42">
        <f>SUM(J499:J500)</f>
        <v>0</v>
      </c>
      <c r="K501" s="42">
        <f t="shared" si="35"/>
        <v>16465808.75</v>
      </c>
      <c r="L501" s="45" t="s">
        <v>288</v>
      </c>
      <c r="N501" s="265"/>
    </row>
    <row r="502" spans="1:14" s="52" customFormat="1" ht="12.2" customHeight="1" x14ac:dyDescent="0.2">
      <c r="A502" s="200" t="s">
        <v>651</v>
      </c>
      <c r="B502" s="201">
        <v>20</v>
      </c>
      <c r="C502" s="202">
        <v>12</v>
      </c>
      <c r="D502" s="203" t="s">
        <v>432</v>
      </c>
      <c r="E502" s="202"/>
      <c r="F502" s="204">
        <v>640000</v>
      </c>
      <c r="G502" s="204"/>
      <c r="H502" s="204"/>
      <c r="I502" s="204"/>
      <c r="J502" s="204"/>
      <c r="K502" s="205">
        <f t="shared" si="35"/>
        <v>640000</v>
      </c>
      <c r="L502" s="206" t="s">
        <v>288</v>
      </c>
      <c r="N502" s="265"/>
    </row>
    <row r="503" spans="1:14" s="52" customFormat="1" ht="12.2" customHeight="1" thickBot="1" x14ac:dyDescent="0.25">
      <c r="A503" s="22" t="s">
        <v>625</v>
      </c>
      <c r="B503" s="75">
        <v>20</v>
      </c>
      <c r="C503" s="115">
        <v>13</v>
      </c>
      <c r="D503" s="2" t="s">
        <v>432</v>
      </c>
      <c r="E503" s="115"/>
      <c r="F503" s="18">
        <f>276936.25+260616.25</f>
        <v>537552.5</v>
      </c>
      <c r="G503" s="18"/>
      <c r="H503" s="18"/>
      <c r="I503" s="18"/>
      <c r="J503" s="18"/>
      <c r="K503" s="53">
        <f t="shared" si="35"/>
        <v>537552.5</v>
      </c>
      <c r="L503" s="24" t="s">
        <v>288</v>
      </c>
      <c r="N503" s="265"/>
    </row>
    <row r="504" spans="1:14" s="52" customFormat="1" ht="12.2" customHeight="1" thickTop="1" x14ac:dyDescent="0.2">
      <c r="A504" s="139" t="s">
        <v>626</v>
      </c>
      <c r="B504" s="44">
        <v>20</v>
      </c>
      <c r="C504" s="195">
        <v>14</v>
      </c>
      <c r="D504" s="39" t="s">
        <v>432</v>
      </c>
      <c r="E504" s="195"/>
      <c r="F504" s="42">
        <f>SUM(F502:F503)</f>
        <v>1177552.5</v>
      </c>
      <c r="G504" s="42">
        <f>SUM(G502:G503)</f>
        <v>0</v>
      </c>
      <c r="H504" s="42">
        <f>SUM(H502:H503)</f>
        <v>0</v>
      </c>
      <c r="I504" s="42">
        <f>SUM(I502:I503)</f>
        <v>0</v>
      </c>
      <c r="J504" s="42">
        <f>SUM(J502:J503)</f>
        <v>0</v>
      </c>
      <c r="K504" s="42">
        <f t="shared" si="35"/>
        <v>1177552.5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254040.23+113018.14+2500+8290.45+3080.24+1351</f>
        <v>382280.06</v>
      </c>
      <c r="G522" s="18">
        <f>131663.01+4219.84+785.59+963.8+35157.02+1932.49+60219.44+500+411.47+2100.86+973.22+150.9+1095.41-44679.09</f>
        <v>195493.95999999996</v>
      </c>
      <c r="H522" s="18">
        <f>132938.71+32430+428.86+360+200+29755.41+2745.88+2835-2745.88-360</f>
        <v>198587.97999999998</v>
      </c>
      <c r="I522" s="18">
        <f>753.98+388.54</f>
        <v>1142.52</v>
      </c>
      <c r="J522" s="18">
        <v>161.25</v>
      </c>
      <c r="K522" s="18"/>
      <c r="L522" s="88">
        <f>SUM(F522:K522)</f>
        <v>777665.77</v>
      </c>
      <c r="N522" s="265"/>
    </row>
    <row r="523" spans="1:14" s="52" customFormat="1" ht="12.2" customHeight="1" x14ac:dyDescent="0.2">
      <c r="A523" s="22" t="s">
        <v>634</v>
      </c>
      <c r="B523" s="105">
        <v>21</v>
      </c>
      <c r="C523" s="115">
        <v>2</v>
      </c>
      <c r="D523" s="2" t="s">
        <v>432</v>
      </c>
      <c r="E523" s="115"/>
      <c r="F523" s="18"/>
      <c r="G523" s="18"/>
      <c r="H523" s="18">
        <f>115558.7+5368</f>
        <v>120926.7</v>
      </c>
      <c r="I523" s="18"/>
      <c r="J523" s="18"/>
      <c r="K523" s="18"/>
      <c r="L523" s="88">
        <f>SUM(F523:K523)</f>
        <v>120926.7</v>
      </c>
      <c r="N523" s="265"/>
    </row>
    <row r="524" spans="1:14" s="52" customFormat="1" ht="12.2" customHeight="1" thickBot="1" x14ac:dyDescent="0.25">
      <c r="A524" s="22" t="s">
        <v>635</v>
      </c>
      <c r="B524" s="105">
        <v>21</v>
      </c>
      <c r="C524" s="115">
        <v>3</v>
      </c>
      <c r="D524" s="2" t="s">
        <v>432</v>
      </c>
      <c r="E524" s="115"/>
      <c r="F524" s="18"/>
      <c r="G524" s="18"/>
      <c r="H524" s="18">
        <f>1491038.24+10972</f>
        <v>1502010.24</v>
      </c>
      <c r="I524" s="18"/>
      <c r="J524" s="18"/>
      <c r="K524" s="18"/>
      <c r="L524" s="88">
        <f>SUM(F524:K524)</f>
        <v>1502010.24</v>
      </c>
      <c r="N524" s="265"/>
    </row>
    <row r="525" spans="1:14" s="52" customFormat="1" ht="12.2" customHeight="1" thickTop="1" x14ac:dyDescent="0.2">
      <c r="A525" s="139" t="s">
        <v>63</v>
      </c>
      <c r="B525" s="107">
        <v>21</v>
      </c>
      <c r="C525" s="195">
        <v>4</v>
      </c>
      <c r="D525" s="196" t="s">
        <v>432</v>
      </c>
      <c r="E525" s="195"/>
      <c r="F525" s="108">
        <f>SUM(F522:F524)</f>
        <v>382280.06</v>
      </c>
      <c r="G525" s="108">
        <f t="shared" ref="G525:L525" si="36">SUM(G522:G524)</f>
        <v>195493.95999999996</v>
      </c>
      <c r="H525" s="108">
        <f t="shared" si="36"/>
        <v>1821524.92</v>
      </c>
      <c r="I525" s="108">
        <f t="shared" si="36"/>
        <v>1142.52</v>
      </c>
      <c r="J525" s="108">
        <f t="shared" si="36"/>
        <v>161.25</v>
      </c>
      <c r="K525" s="108">
        <f t="shared" si="36"/>
        <v>0</v>
      </c>
      <c r="L525" s="89">
        <f t="shared" si="36"/>
        <v>2400602.71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110647+2500+68682</f>
        <v>181829</v>
      </c>
      <c r="G527" s="18">
        <f>18533.51+559.69+167.49+325.35+8481.63+19695.27+35.78+379.39+9789.66+494.96+102.93+201.49+4692.83+12225.44+17.89+235.5</f>
        <v>75938.81</v>
      </c>
      <c r="H527" s="18">
        <f>51718.25+3025+11478.96+14084.86+7457.53</f>
        <v>87764.599999999991</v>
      </c>
      <c r="I527" s="18">
        <f>1776.81+342.67+1018.19</f>
        <v>3137.67</v>
      </c>
      <c r="J527" s="18"/>
      <c r="K527" s="18"/>
      <c r="L527" s="88">
        <f>SUM(F527:K527)</f>
        <v>348670.07999999996</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f>6114.86+5114.6</f>
        <v>11229.46</v>
      </c>
      <c r="I529" s="18"/>
      <c r="J529" s="18"/>
      <c r="K529" s="18"/>
      <c r="L529" s="88">
        <f>SUM(F529:K529)</f>
        <v>11229.46</v>
      </c>
      <c r="M529" s="8"/>
      <c r="N529" s="266"/>
    </row>
    <row r="530" spans="1:14" s="3" customFormat="1" ht="12.2" customHeight="1" thickTop="1" x14ac:dyDescent="0.15">
      <c r="A530" s="139" t="s">
        <v>65</v>
      </c>
      <c r="B530" s="107">
        <v>21</v>
      </c>
      <c r="C530" s="107">
        <v>8</v>
      </c>
      <c r="D530" s="158" t="s">
        <v>432</v>
      </c>
      <c r="E530" s="107"/>
      <c r="F530" s="89">
        <f>SUM(F527:F529)</f>
        <v>181829</v>
      </c>
      <c r="G530" s="89">
        <f t="shared" ref="G530:L530" si="37">SUM(G527:G529)</f>
        <v>75938.81</v>
      </c>
      <c r="H530" s="89">
        <f t="shared" si="37"/>
        <v>98994.06</v>
      </c>
      <c r="I530" s="89">
        <f t="shared" si="37"/>
        <v>3137.67</v>
      </c>
      <c r="J530" s="89">
        <f t="shared" si="37"/>
        <v>0</v>
      </c>
      <c r="K530" s="89">
        <f t="shared" si="37"/>
        <v>0</v>
      </c>
      <c r="L530" s="89">
        <f t="shared" si="37"/>
        <v>359899.54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84271.36+21814.28</f>
        <v>106085.64</v>
      </c>
      <c r="G532" s="18">
        <f>21563.22+8115.56+15000.31</f>
        <v>44679.090000000004</v>
      </c>
      <c r="H532" s="18">
        <f>2745.88+360</f>
        <v>3105.88</v>
      </c>
      <c r="I532" s="18"/>
      <c r="J532" s="18"/>
      <c r="K532" s="18">
        <v>730</v>
      </c>
      <c r="L532" s="88">
        <f>SUM(F532:K532)</f>
        <v>154600.61000000002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106085.64</v>
      </c>
      <c r="G535" s="89">
        <f t="shared" ref="G535:L535" si="38">SUM(G532:G534)</f>
        <v>44679.090000000004</v>
      </c>
      <c r="H535" s="89">
        <f t="shared" si="38"/>
        <v>3105.88</v>
      </c>
      <c r="I535" s="89">
        <f t="shared" si="38"/>
        <v>0</v>
      </c>
      <c r="J535" s="89">
        <f t="shared" si="38"/>
        <v>0</v>
      </c>
      <c r="K535" s="89">
        <f t="shared" si="38"/>
        <v>730</v>
      </c>
      <c r="L535" s="89">
        <f t="shared" si="38"/>
        <v>154600.61000000002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200635.28</v>
      </c>
      <c r="I542" s="18"/>
      <c r="J542" s="18"/>
      <c r="K542" s="18"/>
      <c r="L542" s="88">
        <f>SUM(F542:K542)</f>
        <v>200635.28</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100317.64</v>
      </c>
      <c r="I544" s="18"/>
      <c r="J544" s="18"/>
      <c r="K544" s="18"/>
      <c r="L544" s="88">
        <f>SUM(F544:K544)</f>
        <v>100317.64</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300952.92</v>
      </c>
      <c r="I545" s="193">
        <f t="shared" si="40"/>
        <v>0</v>
      </c>
      <c r="J545" s="193">
        <f t="shared" si="40"/>
        <v>0</v>
      </c>
      <c r="K545" s="193">
        <f t="shared" si="40"/>
        <v>0</v>
      </c>
      <c r="L545" s="193">
        <f t="shared" si="40"/>
        <v>300952.92</v>
      </c>
      <c r="M545" s="8"/>
      <c r="N545" s="266"/>
    </row>
    <row r="546" spans="1:14" s="3" customFormat="1" ht="12.2" customHeight="1" thickTop="1" x14ac:dyDescent="0.15">
      <c r="A546" s="98" t="s">
        <v>72</v>
      </c>
      <c r="B546" s="107">
        <v>21</v>
      </c>
      <c r="C546" s="107">
        <v>21</v>
      </c>
      <c r="D546" s="158" t="s">
        <v>432</v>
      </c>
      <c r="E546" s="107"/>
      <c r="F546" s="89">
        <f>F525+F530+F535+F540+F545</f>
        <v>670194.70000000007</v>
      </c>
      <c r="G546" s="89">
        <f t="shared" ref="G546:L546" si="41">G525+G530+G535+G540+G545</f>
        <v>316111.86</v>
      </c>
      <c r="H546" s="89">
        <f t="shared" si="41"/>
        <v>2224577.7799999998</v>
      </c>
      <c r="I546" s="89">
        <f t="shared" si="41"/>
        <v>4280.1900000000005</v>
      </c>
      <c r="J546" s="89">
        <f t="shared" si="41"/>
        <v>161.25</v>
      </c>
      <c r="K546" s="89">
        <f t="shared" si="41"/>
        <v>730</v>
      </c>
      <c r="L546" s="89">
        <f t="shared" si="41"/>
        <v>3216055.78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777665.77</v>
      </c>
      <c r="G550" s="87">
        <f>L527</f>
        <v>348670.07999999996</v>
      </c>
      <c r="H550" s="87">
        <f>L532</f>
        <v>154600.61000000002</v>
      </c>
      <c r="I550" s="87">
        <f>L537</f>
        <v>0</v>
      </c>
      <c r="J550" s="87">
        <f>L542</f>
        <v>200635.28</v>
      </c>
      <c r="K550" s="87">
        <f>SUM(F550:J550)</f>
        <v>1481571.7400000002</v>
      </c>
      <c r="L550" s="24" t="s">
        <v>288</v>
      </c>
      <c r="M550" s="8"/>
      <c r="N550" s="266"/>
    </row>
    <row r="551" spans="1:14" s="3" customFormat="1" ht="12.2" customHeight="1" x14ac:dyDescent="0.15">
      <c r="A551" s="22" t="s">
        <v>634</v>
      </c>
      <c r="B551" s="75">
        <v>21</v>
      </c>
      <c r="C551" s="75">
        <v>23</v>
      </c>
      <c r="D551" s="2" t="s">
        <v>432</v>
      </c>
      <c r="E551" s="75"/>
      <c r="F551" s="87">
        <f>L523</f>
        <v>120926.7</v>
      </c>
      <c r="G551" s="87">
        <f>L528</f>
        <v>0</v>
      </c>
      <c r="H551" s="87">
        <f>L533</f>
        <v>0</v>
      </c>
      <c r="I551" s="87">
        <f>L538</f>
        <v>0</v>
      </c>
      <c r="J551" s="87">
        <f>L543</f>
        <v>0</v>
      </c>
      <c r="K551" s="87">
        <f>SUM(F551:J551)</f>
        <v>120926.7</v>
      </c>
      <c r="L551" s="24" t="s">
        <v>288</v>
      </c>
      <c r="M551" s="8"/>
      <c r="N551" s="266"/>
    </row>
    <row r="552" spans="1:14" s="3" customFormat="1" ht="12.2" customHeight="1" thickBot="1" x14ac:dyDescent="0.2">
      <c r="A552" s="22" t="s">
        <v>635</v>
      </c>
      <c r="B552" s="75">
        <v>21</v>
      </c>
      <c r="C552" s="75">
        <v>24</v>
      </c>
      <c r="D552" s="2" t="s">
        <v>432</v>
      </c>
      <c r="E552" s="75"/>
      <c r="F552" s="87">
        <f>L524</f>
        <v>1502010.24</v>
      </c>
      <c r="G552" s="87">
        <f>L529</f>
        <v>11229.46</v>
      </c>
      <c r="H552" s="87">
        <f>L534</f>
        <v>0</v>
      </c>
      <c r="I552" s="87">
        <f>L539</f>
        <v>0</v>
      </c>
      <c r="J552" s="87">
        <f>L544</f>
        <v>100317.64</v>
      </c>
      <c r="K552" s="87">
        <f>SUM(F552:J552)</f>
        <v>1613557.3399999999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2400602.71</v>
      </c>
      <c r="G553" s="89">
        <f t="shared" si="42"/>
        <v>359899.54</v>
      </c>
      <c r="H553" s="89">
        <f t="shared" si="42"/>
        <v>154600.61000000002</v>
      </c>
      <c r="I553" s="89">
        <f t="shared" si="42"/>
        <v>0</v>
      </c>
      <c r="J553" s="89">
        <f t="shared" si="42"/>
        <v>300952.92</v>
      </c>
      <c r="K553" s="89">
        <f t="shared" si="42"/>
        <v>3216055.7800000003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11277.36</v>
      </c>
      <c r="G563" s="18">
        <f>862.66+17.89+57.45</f>
        <v>938</v>
      </c>
      <c r="H563" s="18"/>
      <c r="I563" s="18"/>
      <c r="J563" s="18"/>
      <c r="K563" s="18"/>
      <c r="L563" s="88">
        <f>SUM(F563:K563)</f>
        <v>12215.36</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11277.36</v>
      </c>
      <c r="G566" s="89">
        <f t="shared" si="44"/>
        <v>938</v>
      </c>
      <c r="H566" s="89">
        <f t="shared" si="44"/>
        <v>0</v>
      </c>
      <c r="I566" s="89">
        <f t="shared" si="44"/>
        <v>0</v>
      </c>
      <c r="J566" s="89">
        <f t="shared" si="44"/>
        <v>0</v>
      </c>
      <c r="K566" s="89">
        <f t="shared" si="44"/>
        <v>0</v>
      </c>
      <c r="L566" s="89">
        <f t="shared" si="44"/>
        <v>12215.36</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v>18636.38</v>
      </c>
      <c r="I568" s="18"/>
      <c r="J568" s="18"/>
      <c r="K568" s="18"/>
      <c r="L568" s="88">
        <f>SUM(F568:K568)</f>
        <v>18636.38</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18636.38</v>
      </c>
      <c r="I571" s="193">
        <f t="shared" si="45"/>
        <v>0</v>
      </c>
      <c r="J571" s="193">
        <f t="shared" si="45"/>
        <v>0</v>
      </c>
      <c r="K571" s="193">
        <f t="shared" si="45"/>
        <v>0</v>
      </c>
      <c r="L571" s="193">
        <f t="shared" si="45"/>
        <v>18636.38</v>
      </c>
      <c r="M571" s="8"/>
      <c r="N571" s="266"/>
    </row>
    <row r="572" spans="1:14" s="3" customFormat="1" ht="12.2" customHeight="1" thickTop="1" x14ac:dyDescent="0.15">
      <c r="A572" s="98" t="s">
        <v>88</v>
      </c>
      <c r="B572" s="107">
        <v>22</v>
      </c>
      <c r="C572" s="107">
        <v>13</v>
      </c>
      <c r="D572" s="158" t="s">
        <v>432</v>
      </c>
      <c r="E572" s="107"/>
      <c r="F572" s="89">
        <f>F561+F566+F571</f>
        <v>11277.36</v>
      </c>
      <c r="G572" s="89">
        <f t="shared" ref="G572:L572" si="46">G561+G566+G571</f>
        <v>938</v>
      </c>
      <c r="H572" s="89">
        <f t="shared" si="46"/>
        <v>18636.38</v>
      </c>
      <c r="I572" s="89">
        <f t="shared" si="46"/>
        <v>0</v>
      </c>
      <c r="J572" s="89">
        <f t="shared" si="46"/>
        <v>0</v>
      </c>
      <c r="K572" s="89">
        <f t="shared" si="46"/>
        <v>0</v>
      </c>
      <c r="L572" s="89">
        <f t="shared" si="46"/>
        <v>30851.74</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37018.160000000003</v>
      </c>
      <c r="I576" s="87">
        <f>SUM(F576:H576)</f>
        <v>37018.160000000003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3174942.49</v>
      </c>
      <c r="I578" s="87">
        <f t="shared" si="47"/>
        <v>3174942.49</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824446.34</v>
      </c>
      <c r="I582" s="87">
        <f t="shared" si="47"/>
        <v>824446.34</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29755.41</v>
      </c>
      <c r="G583" s="18">
        <v>115558.71</v>
      </c>
      <c r="H583" s="18">
        <f>584767.46+10972</f>
        <v>595739.46</v>
      </c>
      <c r="I583" s="87">
        <f t="shared" si="47"/>
        <v>741053.58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259083.3</v>
      </c>
      <c r="I592" s="18"/>
      <c r="J592" s="18">
        <v>129541.63</v>
      </c>
      <c r="K592" s="104">
        <f t="shared" ref="K592:K598" si="48">SUM(H592:J592)</f>
        <v>388624.93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200635.26</v>
      </c>
      <c r="I593" s="18"/>
      <c r="J593" s="18">
        <v>100317.66</v>
      </c>
      <c r="K593" s="104">
        <f t="shared" si="48"/>
        <v>300952.92000000004</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7556.95</v>
      </c>
      <c r="I595" s="18"/>
      <c r="J595" s="18"/>
      <c r="K595" s="104">
        <f t="shared" si="48"/>
        <v>7556.95</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3034.34</v>
      </c>
      <c r="I596" s="18"/>
      <c r="J596" s="18"/>
      <c r="K596" s="104">
        <f t="shared" si="48"/>
        <v>3034.34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470309.85000000003</v>
      </c>
      <c r="I599" s="108">
        <f>SUM(I592:I598)</f>
        <v>0</v>
      </c>
      <c r="J599" s="108">
        <f>SUM(J592:J598)</f>
        <v>229859.29</v>
      </c>
      <c r="K599" s="108">
        <f>SUM(K592:K598)</f>
        <v>700169.14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76951.75</v>
      </c>
      <c r="I605" s="18"/>
      <c r="J605" s="18"/>
      <c r="K605" s="104">
        <f>SUM(H605:J605)</f>
        <v>76951.75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76951.75</v>
      </c>
      <c r="I606" s="108">
        <f>SUM(I603:I605)</f>
        <v>0</v>
      </c>
      <c r="J606" s="108">
        <f>SUM(J603:J605)</f>
        <v>0</v>
      </c>
      <c r="K606" s="108">
        <f>SUM(K603:K605)</f>
        <v>76951.75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1521003</v>
      </c>
      <c r="H618" s="109">
        <f>SUM(F52)</f>
        <v>1521003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11983</v>
      </c>
      <c r="H619" s="109">
        <f>SUM(G52)</f>
        <v>11983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62755</v>
      </c>
      <c r="H620" s="109">
        <f>SUM(H52)</f>
        <v>62755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868220</v>
      </c>
      <c r="H621" s="109">
        <f>SUM(I52)</f>
        <v>868220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306610.86</v>
      </c>
      <c r="H622" s="109">
        <f>SUM(J52)</f>
        <v>306610.86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1435315</v>
      </c>
      <c r="H623" s="109">
        <f>F477</f>
        <v>1435315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8400</v>
      </c>
      <c r="H625" s="109">
        <f>H477</f>
        <v>8400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693083</v>
      </c>
      <c r="H626" s="109">
        <f>I477</f>
        <v>693083</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306610.86</v>
      </c>
      <c r="H627" s="109">
        <f>J477</f>
        <v>306610.86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14757189</v>
      </c>
      <c r="H628" s="104">
        <f>SUM(F469)</f>
        <v>14757189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140335</v>
      </c>
      <c r="H629" s="104">
        <f>SUM(G469)</f>
        <v>140335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202294</v>
      </c>
      <c r="H630" s="104">
        <f>SUM(H469)</f>
        <v>202294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176773</v>
      </c>
      <c r="H631" s="104">
        <f>SUM(I469)</f>
        <v>176773</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18516.41</v>
      </c>
      <c r="H632" s="104">
        <f>SUM(J469)</f>
        <v>18516.41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13913234.57</v>
      </c>
      <c r="H633" s="104">
        <f>SUM(F473)</f>
        <v>13913234.57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193894</v>
      </c>
      <c r="H634" s="104">
        <f>SUM(H473)</f>
        <v>193894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70166</v>
      </c>
      <c r="H635" s="104">
        <f>I370</f>
        <v>70166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233088</v>
      </c>
      <c r="H636" s="104">
        <f>SUM(G473)</f>
        <v>233088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6041428</v>
      </c>
      <c r="H637" s="104">
        <f>SUM(I473)</f>
        <v>6041428</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18516.41</v>
      </c>
      <c r="H638" s="164">
        <f>SUM(J469)</f>
        <v>18516.41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306610.86</v>
      </c>
      <c r="H641" s="104">
        <f>SUM(G462)</f>
        <v>306610.86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306610.86</v>
      </c>
      <c r="H643" s="104">
        <f>SUM(I462)</f>
        <v>306610.86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3516.41</v>
      </c>
      <c r="H645" s="104">
        <f>H409</f>
        <v>3516.41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v>
      </c>
      <c r="H646" s="104">
        <f>G409</f>
        <v>15000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18516.41</v>
      </c>
      <c r="H647" s="104">
        <f>L409</f>
        <v>18516.41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700169.14</v>
      </c>
      <c r="H648" s="104">
        <f>L209+L227+L245</f>
        <v>700169.14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76951.75</v>
      </c>
      <c r="H649" s="104">
        <f>(J258+J339)-(J256+J337)</f>
        <v>76951.75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470309.85</v>
      </c>
      <c r="H650" s="104">
        <f>H599</f>
        <v>470309.85000000003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229859.29</v>
      </c>
      <c r="H652" s="104">
        <f>J599</f>
        <v>229859.29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3819</v>
      </c>
      <c r="H653" s="104">
        <f>K264+K346</f>
        <v>3819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v>
      </c>
      <c r="H656" s="104">
        <f>K267+K348</f>
        <v>15000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8063959.6099999994</v>
      </c>
      <c r="G661" s="19">
        <f>(L230+L310+L360)</f>
        <v>120926.7</v>
      </c>
      <c r="H661" s="19">
        <f>(L248+L329+L361)</f>
        <v>4961185.76</v>
      </c>
      <c r="I661" s="19">
        <f>SUM(F661:H661)</f>
        <v>13146072.07</v>
      </c>
      <c r="J661" s="13"/>
      <c r="K661" s="13"/>
      <c r="L661" s="13"/>
      <c r="M661" s="9"/>
    </row>
    <row r="662" spans="1:13" s="3" customFormat="1" ht="12.2" customHeight="1" x14ac:dyDescent="0.2">
      <c r="A662" s="1" t="s">
        <v>127</v>
      </c>
      <c r="F662" s="19">
        <f>(L359/IF(SUM(L359:L361)=0,1,SUM(L359:L361))*(SUM(G97:G110)))</f>
        <v>104372</v>
      </c>
      <c r="G662" s="19">
        <f>(L360/IF(SUM(L359:L361)=0,1,SUM(L359:L361))*(SUM(G97:G110)))</f>
        <v>0</v>
      </c>
      <c r="H662" s="19">
        <f>(L361/IF(SUM(L359:L361)=0,1,SUM(L359:L361))*(SUM(G97:G110)))</f>
        <v>0</v>
      </c>
      <c r="I662" s="19">
        <f>SUM(F662:H662)</f>
        <v>104372</v>
      </c>
      <c r="J662"/>
      <c r="K662" s="13"/>
      <c r="L662" s="13"/>
      <c r="M662" s="8"/>
    </row>
    <row r="663" spans="1:13" s="3" customFormat="1" ht="12.2" customHeight="1" x14ac:dyDescent="0.2">
      <c r="A663" s="1" t="s">
        <v>128</v>
      </c>
      <c r="F663" s="19">
        <f>(L209+L288)-(J209+J288)</f>
        <v>470309.85</v>
      </c>
      <c r="G663" s="19">
        <f>(L227+L307)-(J227+J307)</f>
        <v>0</v>
      </c>
      <c r="H663" s="19">
        <f>(L245+L326)-(J245+J326)</f>
        <v>229859.29</v>
      </c>
      <c r="I663" s="19">
        <f>SUM(F663:H663)</f>
        <v>700169.14</v>
      </c>
      <c r="J663"/>
      <c r="K663" s="13"/>
      <c r="L663" s="13"/>
      <c r="M663" s="9"/>
    </row>
    <row r="664" spans="1:13" s="3" customFormat="1" ht="12.2" customHeight="1" x14ac:dyDescent="0.15">
      <c r="A664" s="198" t="s">
        <v>129</v>
      </c>
      <c r="B664" s="169"/>
      <c r="C664" s="169"/>
      <c r="D664" s="169"/>
      <c r="E664" s="169"/>
      <c r="F664" s="199">
        <f>SUM(F576:F588)+SUM(H603:H605)+SUM(L612)</f>
        <v>106707.16</v>
      </c>
      <c r="G664" s="199">
        <f>SUM(G576:G588)+SUM(I603:I605)+L613</f>
        <v>115558.71</v>
      </c>
      <c r="H664" s="199">
        <f>SUM(H576:H588)+SUM(J603:J605)+L614</f>
        <v>4632146.45</v>
      </c>
      <c r="I664" s="19">
        <f>SUM(F664:H664)</f>
        <v>4854412.32</v>
      </c>
      <c r="J664" s="13"/>
      <c r="K664" s="13"/>
      <c r="L664" s="13"/>
      <c r="M664" s="9"/>
    </row>
    <row r="665" spans="1:13" s="3" customFormat="1" ht="12.2" customHeight="1" x14ac:dyDescent="0.15">
      <c r="A665" s="1" t="s">
        <v>130</v>
      </c>
      <c r="F665" s="19">
        <f>F661-SUM(F662:F664)</f>
        <v>7382570.5999999996</v>
      </c>
      <c r="G665" s="19">
        <f>G661-SUM(G662:G664)</f>
        <v>5367.9899999999907</v>
      </c>
      <c r="H665" s="19">
        <f>H661-SUM(H662:H664)</f>
        <v>99180.019999999553</v>
      </c>
      <c r="I665" s="19">
        <f>I661-SUM(I662:I664)</f>
        <v>7487118.6100000003</v>
      </c>
      <c r="J665" s="13"/>
      <c r="K665" s="13"/>
      <c r="L665" s="13"/>
      <c r="M665" s="8"/>
    </row>
    <row r="666" spans="1:13" s="3" customFormat="1" ht="12.2" customHeight="1" x14ac:dyDescent="0.2">
      <c r="A666" s="1" t="s">
        <v>131</v>
      </c>
      <c r="F666" s="246">
        <v>619.85</v>
      </c>
      <c r="G666" s="247"/>
      <c r="H666" s="247"/>
      <c r="I666" s="19">
        <f>SUM(F666:H666)</f>
        <v>619.85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11910.25</v>
      </c>
      <c r="G668" s="19" t="e">
        <f>ROUND(G665/G666,2)</f>
        <v>#DIV/0!</v>
      </c>
      <c r="H668" s="19" t="e">
        <f>ROUND(H665/H666,2)</f>
        <v>#DIV/0!</v>
      </c>
      <c r="I668" s="19">
        <f>ROUND(I665/I666,2)</f>
        <v>12078.92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-5367.99</v>
      </c>
      <c r="H670" s="18">
        <v>-99180.02</v>
      </c>
      <c r="I670" s="19">
        <f>SUM(F670:H670)</f>
        <v>-104548.01000000001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11910.25</v>
      </c>
      <c r="G673" s="19" t="e">
        <f>ROUND((G665+G670)/(G666+G671),2)</f>
        <v>#DIV/0!</v>
      </c>
      <c r="H673" s="19" t="e">
        <f>ROUND((H665+H670)/(H666+H671),2)</f>
        <v>#DIV/0!</v>
      </c>
      <c r="I673" s="19">
        <f>ROUND((I665+I670)/(I666+I671),2)</f>
        <v>11910.25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16"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Auburn School District</v>
      </c>
      <c r="C5" s="344"/>
      <c r="D5" s="344"/>
      <c r="E5" s="344"/>
      <c r="F5" s="344"/>
    </row>
    <row r="8" spans="1:9" ht="18" x14ac:dyDescent="0.25">
      <c r="A8" s="323" t="s">
        <v>1591</v>
      </c>
      <c r="F8" s="330" t="s">
        <v>1609</v>
      </c>
    </row>
    <row r="9" spans="1:9" ht="15" x14ac:dyDescent="0.2">
      <c r="A9" s="321" t="s">
        <v>1592</v>
      </c>
      <c r="B9" s="324">
        <f>'DOE25'!G97</f>
        <v>104372</v>
      </c>
      <c r="F9" s="321" t="s">
        <v>1605</v>
      </c>
    </row>
    <row r="10" spans="1:9" ht="15" x14ac:dyDescent="0.2">
      <c r="A10" s="321" t="s">
        <v>1593</v>
      </c>
      <c r="B10" s="324">
        <f>'DOE25'!G112-'DOE25'!G97</f>
        <v>0</v>
      </c>
      <c r="F10" s="321" t="s">
        <v>1606</v>
      </c>
    </row>
    <row r="11" spans="1:9" ht="15" x14ac:dyDescent="0.2">
      <c r="A11" s="321" t="s">
        <v>1594</v>
      </c>
      <c r="B11" s="324">
        <f>'DOE25'!G140</f>
        <v>2909</v>
      </c>
      <c r="F11" s="321" t="s">
        <v>1607</v>
      </c>
    </row>
    <row r="12" spans="1:9" ht="15" x14ac:dyDescent="0.2">
      <c r="A12" s="321" t="s">
        <v>1595</v>
      </c>
      <c r="B12" s="324">
        <f>'DOE25'!G170</f>
        <v>29235</v>
      </c>
      <c r="F12" s="321" t="s">
        <v>1608</v>
      </c>
    </row>
    <row r="13" spans="1:9" ht="15" x14ac:dyDescent="0.2">
      <c r="A13" s="321" t="s">
        <v>1596</v>
      </c>
      <c r="B13" s="324">
        <f>'DOE25'!G193-'DOE25'!G180</f>
        <v>0</v>
      </c>
      <c r="F13" s="321" t="s">
        <v>1618</v>
      </c>
    </row>
    <row r="14" spans="1:9" ht="18" x14ac:dyDescent="0.25">
      <c r="A14" s="323" t="s">
        <v>732</v>
      </c>
      <c r="B14" s="325">
        <f>SUM(B9:B13)</f>
        <v>136516</v>
      </c>
    </row>
    <row r="16" spans="1:9" ht="18" x14ac:dyDescent="0.25">
      <c r="A16" s="323" t="s">
        <v>786</v>
      </c>
      <c r="F16" s="330" t="s">
        <v>1610</v>
      </c>
    </row>
    <row r="17" spans="1:6" ht="15" x14ac:dyDescent="0.2">
      <c r="A17" s="321" t="s">
        <v>1597</v>
      </c>
      <c r="B17" s="324">
        <f>'DOE25'!L363-'DOE25'!L362</f>
        <v>233088</v>
      </c>
      <c r="F17" s="321" t="s">
        <v>1611</v>
      </c>
    </row>
    <row r="18" spans="1:6" ht="15" x14ac:dyDescent="0.2">
      <c r="A18" s="321" t="s">
        <v>1598</v>
      </c>
      <c r="B18" s="338"/>
      <c r="F18" s="330" t="s">
        <v>1637</v>
      </c>
    </row>
    <row r="19" spans="1:6" ht="18" x14ac:dyDescent="0.25">
      <c r="A19" s="323" t="s">
        <v>725</v>
      </c>
      <c r="B19" s="325">
        <f>SUM(B17:B18)</f>
        <v>233088</v>
      </c>
    </row>
    <row r="21" spans="1:6" ht="18.75" thickBot="1" x14ac:dyDescent="0.3">
      <c r="A21" s="323" t="s">
        <v>1599</v>
      </c>
    </row>
    <row r="22" spans="1:6" ht="18.75" thickTop="1" x14ac:dyDescent="0.25">
      <c r="A22" s="323" t="s">
        <v>1600</v>
      </c>
      <c r="B22" s="329">
        <f>B14-B19</f>
        <v>-96572</v>
      </c>
      <c r="F22" s="321" t="s">
        <v>1612</v>
      </c>
    </row>
    <row r="26" spans="1:6" ht="18" x14ac:dyDescent="0.25">
      <c r="A26" s="323" t="s">
        <v>186</v>
      </c>
    </row>
    <row r="27" spans="1:6" ht="15" x14ac:dyDescent="0.2">
      <c r="A27" s="321" t="s">
        <v>1601</v>
      </c>
      <c r="B27" s="324">
        <f>'DOE25'!G180</f>
        <v>3819</v>
      </c>
      <c r="F27" s="321" t="s">
        <v>1613</v>
      </c>
    </row>
    <row r="28" spans="1:6" ht="15" x14ac:dyDescent="0.2">
      <c r="A28" s="321" t="s">
        <v>1603</v>
      </c>
      <c r="B28" s="324">
        <f>'DOE25'!L362</f>
        <v>0</v>
      </c>
      <c r="F28" s="321" t="s">
        <v>1614</v>
      </c>
    </row>
    <row r="31" spans="1:6" ht="15" x14ac:dyDescent="0.2">
      <c r="A31" s="321" t="s">
        <v>1640</v>
      </c>
      <c r="B31" s="324">
        <f>'DOE25'!G466</f>
        <v>92752.56</v>
      </c>
      <c r="F31" s="321" t="s">
        <v>1615</v>
      </c>
    </row>
    <row r="33" spans="1:6" ht="15" x14ac:dyDescent="0.2">
      <c r="A33" s="321" t="s">
        <v>1641</v>
      </c>
      <c r="B33" s="324">
        <f>'DOE25'!G477</f>
        <v>0</v>
      </c>
      <c r="F33" s="321" t="s">
        <v>1616</v>
      </c>
    </row>
    <row r="36" spans="1:6" ht="15" x14ac:dyDescent="0.2">
      <c r="A36" s="321" t="s">
        <v>1602</v>
      </c>
      <c r="B36" s="339">
        <v>7309.34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Auburn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2416830.9899999998</v>
      </c>
      <c r="C9" s="229">
        <f>'DOE25'!G198+'DOE25'!G216+'DOE25'!G234+'DOE25'!G277+'DOE25'!G296+'DOE25'!G315</f>
        <v>1234141.6000000001</v>
      </c>
    </row>
    <row r="10" spans="1:3" x14ac:dyDescent="0.2">
      <c r="A10" t="s">
        <v>775</v>
      </c>
      <c r="B10" s="240">
        <v>2297212.89</v>
      </c>
      <c r="C10" s="240">
        <v>1227507.3700000001</v>
      </c>
    </row>
    <row r="11" spans="1:3" x14ac:dyDescent="0.2">
      <c r="A11" t="s">
        <v>776</v>
      </c>
      <c r="B11" s="240">
        <v>79047.649999999994</v>
      </c>
      <c r="C11" s="240">
        <f>6047.15+273.44</f>
        <v>6320.5899999999992</v>
      </c>
    </row>
    <row r="12" spans="1:3" x14ac:dyDescent="0.2">
      <c r="A12" t="s">
        <v>777</v>
      </c>
      <c r="B12" s="240">
        <v>40570.449999999997</v>
      </c>
      <c r="C12" s="240">
        <v>313.64</v>
      </c>
    </row>
    <row r="13" spans="1:3" x14ac:dyDescent="0.2">
      <c r="A13" t="str">
        <f>IF(B9=B13,IF(C9=C13,"Check Total OK","Check Total Error"),"Check Total Error")</f>
        <v>Check Total OK</v>
      </c>
      <c r="B13" s="231">
        <f>SUM(B10:B12)</f>
        <v>2416830.9900000002</v>
      </c>
      <c r="C13" s="231">
        <f>SUM(C10:C12)</f>
        <v>1234141.6000000001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499643.06</v>
      </c>
      <c r="C18" s="229">
        <f>'DOE25'!G199+'DOE25'!G217+'DOE25'!G235+'DOE25'!G278+'DOE25'!G297+'DOE25'!G316</f>
        <v>241111.05</v>
      </c>
    </row>
    <row r="19" spans="1:3" x14ac:dyDescent="0.2">
      <c r="A19" t="s">
        <v>775</v>
      </c>
      <c r="B19" s="240">
        <v>266181.92</v>
      </c>
      <c r="C19" s="240">
        <v>183492.14</v>
      </c>
    </row>
    <row r="20" spans="1:3" x14ac:dyDescent="0.2">
      <c r="A20" t="s">
        <v>776</v>
      </c>
      <c r="B20" s="240">
        <f>113018.14+3080+11277.36</f>
        <v>127375.5</v>
      </c>
      <c r="C20" s="240">
        <f>9744.23+150.9+1932.49+1112</f>
        <v>12939.619999999999</v>
      </c>
    </row>
    <row r="21" spans="1:3" x14ac:dyDescent="0.2">
      <c r="A21" t="s">
        <v>777</v>
      </c>
      <c r="B21" s="240">
        <v>106085.64</v>
      </c>
      <c r="C21" s="240">
        <v>44679.29</v>
      </c>
    </row>
    <row r="22" spans="1:3" x14ac:dyDescent="0.2">
      <c r="A22" t="str">
        <f>IF(B18=B22,IF(C18=C22,"Check Total OK","Check Total Error"),"Check Total Error")</f>
        <v>Check Total OK</v>
      </c>
      <c r="B22" s="231">
        <f>SUM(B19:B21)</f>
        <v>499643.06</v>
      </c>
      <c r="C22" s="231">
        <f>SUM(C19:C21)</f>
        <v>241111.05000000002</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41647.96</v>
      </c>
      <c r="C36" s="235">
        <f>'DOE25'!G201+'DOE25'!G219+'DOE25'!G237+'DOE25'!G280+'DOE25'!G299+'DOE25'!G318</f>
        <v>7942.27</v>
      </c>
    </row>
    <row r="37" spans="1:3" x14ac:dyDescent="0.2">
      <c r="A37" t="s">
        <v>775</v>
      </c>
      <c r="B37" s="240">
        <v>28028.83</v>
      </c>
      <c r="C37" s="240">
        <v>6314.91</v>
      </c>
    </row>
    <row r="38" spans="1:3" x14ac:dyDescent="0.2">
      <c r="A38" t="s">
        <v>776</v>
      </c>
      <c r="B38" s="240">
        <v>1919.13</v>
      </c>
      <c r="C38" s="240">
        <v>146.82</v>
      </c>
    </row>
    <row r="39" spans="1:3" x14ac:dyDescent="0.2">
      <c r="A39" t="s">
        <v>777</v>
      </c>
      <c r="B39" s="240">
        <v>11700</v>
      </c>
      <c r="C39" s="240">
        <v>1480.54</v>
      </c>
    </row>
    <row r="40" spans="1:3" x14ac:dyDescent="0.2">
      <c r="A40" t="str">
        <f>IF(B36=B40,IF(C36=C40,"Check Total OK","Check Total Error"),"Check Total Error")</f>
        <v>Check Total OK</v>
      </c>
      <c r="B40" s="231">
        <f>SUM(B37:B39)</f>
        <v>41647.960000000006</v>
      </c>
      <c r="C40" s="231">
        <f>SUM(C37:C39)</f>
        <v>7942.2699999999995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36" sqref="E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Auburn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9600744.9699999988</v>
      </c>
      <c r="D5" s="20">
        <f>SUM('DOE25'!L198:L201)+SUM('DOE25'!L216:L219)+SUM('DOE25'!L234:L237)-F5-G5-H5</f>
        <v>9508211.8300000001</v>
      </c>
      <c r="E5" s="243"/>
      <c r="F5" s="244">
        <v>67435.69</v>
      </c>
      <c r="G5" s="53">
        <f>SUM('DOE25'!J198:J201)+SUM('DOE25'!J216:J219)+SUM('DOE25'!J234:J237)</f>
        <v>23492.45</v>
      </c>
      <c r="H5" s="53">
        <f>SUM('DOE25'!K198:K201)+SUM('DOE25'!K216:K219)+SUM('DOE25'!K234:K237)</f>
        <v>1605</v>
      </c>
      <c r="I5" s="256"/>
    </row>
    <row r="6" spans="1:9" x14ac:dyDescent="0.2">
      <c r="A6" s="32">
        <v>2100</v>
      </c>
      <c r="B6" t="s">
        <v>796</v>
      </c>
      <c r="C6" s="276">
        <f t="shared" si="0"/>
        <v>640046.57999999996</v>
      </c>
      <c r="D6" s="20">
        <f>'DOE25'!L203+'DOE25'!L221+'DOE25'!L239-F6-G6-H6</f>
        <v>533321.85</v>
      </c>
      <c r="E6" s="243"/>
      <c r="F6" s="244">
        <f>54447.49+51718.25</f>
        <v>106165.73999999999</v>
      </c>
      <c r="G6" s="53">
        <f>'DOE25'!J203+'DOE25'!J221+'DOE25'!J239</f>
        <v>379.99</v>
      </c>
      <c r="H6" s="53">
        <f>'DOE25'!K203+'DOE25'!K221+'DOE25'!K239</f>
        <v>179</v>
      </c>
      <c r="I6" s="256"/>
    </row>
    <row r="7" spans="1:9" x14ac:dyDescent="0.2">
      <c r="A7" s="32">
        <v>2200</v>
      </c>
      <c r="B7" t="s">
        <v>821</v>
      </c>
      <c r="C7" s="276">
        <f t="shared" si="0"/>
        <v>268334.54000000004</v>
      </c>
      <c r="D7" s="20">
        <f>'DOE25'!L204+'DOE25'!L222+'DOE25'!L240-F7-G7-H7</f>
        <v>268334.54000000004</v>
      </c>
      <c r="E7" s="243"/>
      <c r="F7" s="244"/>
      <c r="G7" s="53">
        <f>'DOE25'!J204+'DOE25'!J222+'DOE25'!J240</f>
        <v>0</v>
      </c>
      <c r="H7" s="53">
        <f>'DOE25'!K204+'DOE25'!K222+'DOE25'!K240</f>
        <v>0</v>
      </c>
      <c r="I7" s="256"/>
    </row>
    <row r="8" spans="1:9" x14ac:dyDescent="0.2">
      <c r="A8" s="32">
        <v>2300</v>
      </c>
      <c r="B8" t="s">
        <v>797</v>
      </c>
      <c r="C8" s="276">
        <f t="shared" si="0"/>
        <v>169042.43</v>
      </c>
      <c r="D8" s="243"/>
      <c r="E8" s="20">
        <f>'DOE25'!L205+'DOE25'!L223+'DOE25'!L241-F8-G8-H8-D9-D11</f>
        <v>165099.78999999998</v>
      </c>
      <c r="F8" s="244"/>
      <c r="G8" s="53">
        <f>'DOE25'!J205+'DOE25'!J223+'DOE25'!J241</f>
        <v>0</v>
      </c>
      <c r="H8" s="53">
        <f>'DOE25'!K205+'DOE25'!K223+'DOE25'!K241</f>
        <v>3942.64</v>
      </c>
      <c r="I8" s="256"/>
    </row>
    <row r="9" spans="1:9" ht="14.25" x14ac:dyDescent="0.2">
      <c r="A9" s="32">
        <v>2310</v>
      </c>
      <c r="B9" s="185" t="s">
        <v>890</v>
      </c>
      <c r="C9" s="276">
        <f t="shared" si="0"/>
        <v>62964.99</v>
      </c>
      <c r="D9" s="244">
        <v>62964.99</v>
      </c>
      <c r="E9" s="243"/>
      <c r="F9" s="253"/>
      <c r="G9" s="253"/>
      <c r="H9" s="253"/>
      <c r="I9" s="256"/>
    </row>
    <row r="10" spans="1:9" ht="14.25" x14ac:dyDescent="0.2">
      <c r="A10" s="32">
        <v>2317</v>
      </c>
      <c r="B10" s="185" t="s">
        <v>891</v>
      </c>
      <c r="C10" s="276">
        <f t="shared" si="0"/>
        <v>7110</v>
      </c>
      <c r="D10" s="243"/>
      <c r="E10" s="244">
        <v>7110</v>
      </c>
      <c r="F10" s="253"/>
      <c r="G10" s="253"/>
      <c r="H10" s="253"/>
      <c r="I10" s="256"/>
    </row>
    <row r="11" spans="1:9" ht="14.25" x14ac:dyDescent="0.2">
      <c r="A11" s="32">
        <v>2321</v>
      </c>
      <c r="B11" s="185" t="s">
        <v>892</v>
      </c>
      <c r="C11" s="276">
        <f t="shared" si="0"/>
        <v>130843.57</v>
      </c>
      <c r="D11" s="244">
        <v>130843.57</v>
      </c>
      <c r="E11" s="243"/>
      <c r="F11" s="253"/>
      <c r="G11" s="253"/>
      <c r="H11" s="253"/>
      <c r="I11" s="256"/>
    </row>
    <row r="12" spans="1:9" x14ac:dyDescent="0.2">
      <c r="A12" s="32">
        <v>2400</v>
      </c>
      <c r="B12" t="s">
        <v>711</v>
      </c>
      <c r="C12" s="276">
        <f t="shared" si="0"/>
        <v>451717.64</v>
      </c>
      <c r="D12" s="20">
        <f>'DOE25'!L206+'DOE25'!L224+'DOE25'!L242-F12-G12-H12</f>
        <v>449896.69</v>
      </c>
      <c r="E12" s="243"/>
      <c r="F12" s="244"/>
      <c r="G12" s="53">
        <f>'DOE25'!J206+'DOE25'!J224+'DOE25'!J242</f>
        <v>1083.95</v>
      </c>
      <c r="H12" s="53">
        <f>'DOE25'!K206+'DOE25'!K224+'DOE25'!K242</f>
        <v>737</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516208.76</v>
      </c>
      <c r="D14" s="20">
        <f>'DOE25'!L208+'DOE25'!L226+'DOE25'!L244-F14-G14-H14</f>
        <v>515175.27</v>
      </c>
      <c r="E14" s="243"/>
      <c r="F14" s="244"/>
      <c r="G14" s="53">
        <f>'DOE25'!J208+'DOE25'!J226+'DOE25'!J244</f>
        <v>1033.49</v>
      </c>
      <c r="H14" s="53">
        <f>'DOE25'!K208+'DOE25'!K226+'DOE25'!K244</f>
        <v>0</v>
      </c>
      <c r="I14" s="256"/>
    </row>
    <row r="15" spans="1:9" x14ac:dyDescent="0.2">
      <c r="A15" s="32">
        <v>2700</v>
      </c>
      <c r="B15" t="s">
        <v>799</v>
      </c>
      <c r="C15" s="276">
        <f t="shared" si="0"/>
        <v>700169.14</v>
      </c>
      <c r="D15" s="20">
        <f>'DOE25'!L209+'DOE25'!L227+'DOE25'!L245-F15-G15-H15</f>
        <v>59709.369999999995</v>
      </c>
      <c r="E15" s="243"/>
      <c r="F15" s="244">
        <v>640459.77</v>
      </c>
      <c r="G15" s="53">
        <f>'DOE25'!J209+'DOE25'!J227+'DOE25'!J245</f>
        <v>0</v>
      </c>
      <c r="H15" s="53">
        <f>'DOE25'!K209+'DOE25'!K227+'DOE25'!K245</f>
        <v>0</v>
      </c>
      <c r="I15" s="256"/>
    </row>
    <row r="16" spans="1:9" x14ac:dyDescent="0.2">
      <c r="A16" s="32">
        <v>2800</v>
      </c>
      <c r="B16" t="s">
        <v>800</v>
      </c>
      <c r="C16" s="276">
        <f t="shared" si="0"/>
        <v>179017.45</v>
      </c>
      <c r="D16" s="243"/>
      <c r="E16" s="20">
        <f>'DOE25'!L210+'DOE25'!L228+'DOE25'!L246-F16-G16-H16</f>
        <v>137721.65000000002</v>
      </c>
      <c r="F16" s="244"/>
      <c r="G16" s="53">
        <f>'DOE25'!J210+'DOE25'!J228+'DOE25'!J246</f>
        <v>40955.800000000003</v>
      </c>
      <c r="H16" s="53">
        <f>'DOE25'!K210+'DOE25'!K228+'DOE25'!K246</f>
        <v>340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1175325.5</v>
      </c>
      <c r="D25" s="243"/>
      <c r="E25" s="243"/>
      <c r="F25" s="255"/>
      <c r="G25" s="253"/>
      <c r="H25" s="253"/>
      <c r="I25" s="254">
        <f>'DOE25'!L261+'DOE25'!L262+'DOE25'!L342+'DOE25'!L343</f>
        <v>1175325.5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172492</v>
      </c>
      <c r="D29" s="284">
        <f>'DOE25'!L359+'DOE25'!L360+'DOE25'!L361-'DOE25'!I368-F29-G29-H29</f>
        <v>107816</v>
      </c>
      <c r="E29" s="243"/>
      <c r="F29" s="244"/>
      <c r="G29" s="53">
        <f>'DOE25'!J359+'DOE25'!J360+'DOE25'!J361</f>
        <v>0</v>
      </c>
      <c r="H29" s="53">
        <f>'DOE25'!K359+'DOE25'!K360+'DOE25'!K361</f>
        <v>64676</v>
      </c>
      <c r="I29" s="256"/>
    </row>
    <row r="30" spans="1:9" x14ac:dyDescent="0.2">
      <c r="A30" s="32"/>
      <c r="C30" s="277"/>
      <c r="D30" s="20"/>
      <c r="E30" s="281"/>
      <c r="F30" s="271"/>
      <c r="G30" s="53"/>
      <c r="H30" s="53"/>
      <c r="I30" s="256"/>
    </row>
    <row r="31" spans="1:9" x14ac:dyDescent="0.2">
      <c r="A31" s="32" t="s">
        <v>818</v>
      </c>
      <c r="B31" t="s">
        <v>817</v>
      </c>
      <c r="C31" s="276">
        <f>SUM(D31:I31)</f>
        <v>193894</v>
      </c>
      <c r="D31" s="20">
        <f>'DOE25'!L291+'DOE25'!L310+'DOE25'!L329+'DOE25'!L334+'DOE25'!L335+'DOE25'!L336-F31-G31-H31</f>
        <v>183492.61</v>
      </c>
      <c r="E31" s="243"/>
      <c r="F31" s="244"/>
      <c r="G31" s="53">
        <f>'DOE25'!J291+'DOE25'!J310+'DOE25'!J329+'DOE25'!J334+'DOE25'!J335+'DOE25'!J336</f>
        <v>10006.07</v>
      </c>
      <c r="H31" s="53">
        <f>'DOE25'!K291+'DOE25'!K310+'DOE25'!K329+'DOE25'!K334+'DOE25'!K335+'DOE25'!K336</f>
        <v>395.32</v>
      </c>
      <c r="I31" s="256"/>
    </row>
    <row r="32" spans="1:9" ht="12" thickBot="1" x14ac:dyDescent="0.25">
      <c r="C32" s="277"/>
      <c r="G32" s="251"/>
      <c r="H32" s="251"/>
      <c r="I32" s="258"/>
    </row>
    <row r="33" spans="1:9" ht="12" thickTop="1" x14ac:dyDescent="0.2">
      <c r="B33" t="s">
        <v>809</v>
      </c>
      <c r="D33" s="245">
        <f t="shared" ref="D33:I33" si="1">SUM(D5:D31)</f>
        <v>11819766.719999997</v>
      </c>
      <c r="E33" s="245">
        <f t="shared" si="1"/>
        <v>309931.44</v>
      </c>
      <c r="F33" s="245">
        <f t="shared" si="1"/>
        <v>814061.2</v>
      </c>
      <c r="G33" s="245">
        <f t="shared" si="1"/>
        <v>76951.75</v>
      </c>
      <c r="H33" s="245">
        <f t="shared" si="1"/>
        <v>71874.960000000006</v>
      </c>
      <c r="I33" s="245">
        <f t="shared" si="1"/>
        <v>1175325.5</v>
      </c>
    </row>
    <row r="35" spans="1:9" ht="12" thickBot="1" x14ac:dyDescent="0.25">
      <c r="B35" s="251" t="s">
        <v>831</v>
      </c>
      <c r="D35" s="252">
        <f>E33</f>
        <v>309931.44</v>
      </c>
      <c r="E35" s="248"/>
    </row>
    <row r="36" spans="1:9" ht="12" thickTop="1" x14ac:dyDescent="0.2">
      <c r="B36" t="s">
        <v>810</v>
      </c>
      <c r="D36" s="20">
        <f>D33</f>
        <v>11819766.719999997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0" sqref="A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Auburn School District</v>
      </c>
      <c r="B2" s="126">
        <f>'DOE25'!B2</f>
        <v>29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7830871.6100000003</v>
      </c>
      <c r="G4" s="303">
        <f>'DOE25'!L212+'DOE25'!L291</f>
        <v>7830871.6099999994</v>
      </c>
      <c r="H4" s="337">
        <f>F4-G4</f>
        <v>0</v>
      </c>
      <c r="I4" s="309" t="str">
        <f>IF(H4=0,"","Does not match DOE25 page 7 and 11 Totals!!")</f>
        <v/>
      </c>
      <c r="N4"/>
    </row>
    <row r="5" spans="1:18" x14ac:dyDescent="0.2">
      <c r="A5" s="21" t="s">
        <v>927</v>
      </c>
      <c r="B5" s="304">
        <f>IFERROR(VLOOKUP(A5,'School Tables'!$C$3:$D$365,2,FALSE),"")</f>
        <v>20530</v>
      </c>
      <c r="C5" s="297" t="str">
        <f>IFERROR(INDEX('School Tables'!$B$3:$B$365,MATCH('School Level Expenditures'!B5,'School Tables'!$D$3:$D$365,0)),"")</f>
        <v>Auburn</v>
      </c>
      <c r="D5" s="294">
        <v>7636977.6100000003</v>
      </c>
      <c r="E5" s="294">
        <v>193894</v>
      </c>
      <c r="F5" s="312">
        <f>D5+E5</f>
        <v>7830871.6100000003</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120926.7</v>
      </c>
      <c r="G24" s="303">
        <f>'DOE25'!L230+'DOE25'!L310</f>
        <v>120926.7</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120926.7</v>
      </c>
      <c r="E25" s="294"/>
      <c r="F25" s="307">
        <f>D25+E25</f>
        <v>120926.7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4961185.76</v>
      </c>
      <c r="G36" s="303">
        <f>'DOE25'!L248+'DOE25'!L329</f>
        <v>4961185.76</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4961185.76</v>
      </c>
      <c r="E37" s="294"/>
      <c r="F37" s="307">
        <f>D37+E37</f>
        <v>4961185.76</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Auburn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1457929</v>
      </c>
      <c r="D8" s="95">
        <f>'DOE25'!G9</f>
        <v>0</v>
      </c>
      <c r="E8" s="95">
        <f>'DOE25'!H9</f>
        <v>0</v>
      </c>
      <c r="F8" s="95">
        <f>'DOE25'!I9</f>
        <v>746105</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43121</v>
      </c>
      <c r="D11" s="95">
        <f>'DOE25'!G12</f>
        <v>11983</v>
      </c>
      <c r="E11" s="95">
        <f>'DOE25'!H12</f>
        <v>0</v>
      </c>
      <c r="F11" s="95">
        <f>'DOE25'!I12</f>
        <v>115</v>
      </c>
      <c r="G11" s="95">
        <f>'DOE25'!J12</f>
        <v>0</v>
      </c>
      <c r="H11" s="124"/>
      <c r="I11" s="124"/>
    </row>
    <row r="12" spans="1:9" x14ac:dyDescent="0.2">
      <c r="A12" s="1" t="s">
        <v>143</v>
      </c>
      <c r="B12" s="6">
        <v>140</v>
      </c>
      <c r="C12" s="95">
        <f>'DOE25'!F13</f>
        <v>19352</v>
      </c>
      <c r="D12" s="95">
        <f>'DOE25'!G13</f>
        <v>0</v>
      </c>
      <c r="E12" s="95">
        <f>'DOE25'!H13</f>
        <v>62755</v>
      </c>
      <c r="F12" s="95">
        <f>'DOE25'!I13</f>
        <v>122000</v>
      </c>
      <c r="G12" s="95">
        <f>'DOE25'!J13</f>
        <v>306610.86</v>
      </c>
      <c r="H12" s="124"/>
      <c r="I12" s="124"/>
    </row>
    <row r="13" spans="1:9" x14ac:dyDescent="0.2">
      <c r="A13" s="1" t="s">
        <v>144</v>
      </c>
      <c r="B13" s="6">
        <v>150</v>
      </c>
      <c r="C13" s="95">
        <f>'DOE25'!F14</f>
        <v>601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1521003</v>
      </c>
      <c r="D18" s="41">
        <f>SUM(D8:D17)</f>
        <v>11983</v>
      </c>
      <c r="E18" s="41">
        <f>SUM(E8:E17)</f>
        <v>62755</v>
      </c>
      <c r="F18" s="41">
        <f>SUM(F8:F17)</f>
        <v>868220</v>
      </c>
      <c r="G18" s="41">
        <f>SUM(G8:G17)</f>
        <v>306610.86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12098</v>
      </c>
      <c r="D21" s="95">
        <f>'DOE25'!G22</f>
        <v>0</v>
      </c>
      <c r="E21" s="95">
        <f>'DOE25'!H22</f>
        <v>43121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67532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175137</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6058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11983</v>
      </c>
      <c r="E29" s="95">
        <f>'DOE25'!H30</f>
        <v>11234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85688</v>
      </c>
      <c r="D31" s="41">
        <f>SUM(D21:D30)</f>
        <v>11983</v>
      </c>
      <c r="E31" s="41">
        <f>SUM(E21:E30)</f>
        <v>54355</v>
      </c>
      <c r="F31" s="41">
        <f>SUM(F21:F30)</f>
        <v>175137</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693083</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253000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8400</v>
      </c>
      <c r="F47" s="95">
        <f>'DOE25'!I48</f>
        <v>0</v>
      </c>
      <c r="G47" s="95">
        <f>'DOE25'!J48</f>
        <v>306610.86</v>
      </c>
      <c r="H47" s="124"/>
      <c r="I47" s="124"/>
    </row>
    <row r="48" spans="1:9" x14ac:dyDescent="0.2">
      <c r="A48" s="1" t="s">
        <v>882</v>
      </c>
      <c r="B48" s="6">
        <v>753</v>
      </c>
      <c r="C48" s="95">
        <f>'DOE25'!F49</f>
        <v>385265</v>
      </c>
      <c r="D48" s="95">
        <f>'DOE25'!G49</f>
        <v>0</v>
      </c>
      <c r="E48" s="95">
        <f>'DOE25'!H49</f>
        <v>0</v>
      </c>
      <c r="F48" s="95">
        <f>'DOE25'!I49</f>
        <v>0</v>
      </c>
      <c r="G48" s="95">
        <f>'DOE25'!J49</f>
        <v>0</v>
      </c>
      <c r="H48" s="124"/>
      <c r="I48" s="124"/>
    </row>
    <row r="49" spans="1:9" ht="12" thickBot="1" x14ac:dyDescent="0.25">
      <c r="A49" s="29" t="s">
        <v>883</v>
      </c>
      <c r="B49" s="71">
        <v>770</v>
      </c>
      <c r="C49" s="95">
        <f>'DOE25'!F50</f>
        <v>797050</v>
      </c>
      <c r="D49" s="24" t="s">
        <v>288</v>
      </c>
      <c r="E49" s="24" t="s">
        <v>288</v>
      </c>
      <c r="F49" s="24" t="s">
        <v>288</v>
      </c>
      <c r="G49" s="24" t="s">
        <v>288</v>
      </c>
      <c r="H49" s="124"/>
      <c r="I49" s="124"/>
    </row>
    <row r="50" spans="1:9" ht="12.75" thickTop="1" thickBot="1" x14ac:dyDescent="0.25">
      <c r="A50" s="38" t="s">
        <v>884</v>
      </c>
      <c r="B50" s="48"/>
      <c r="C50" s="41">
        <f>SUM(C34:C49)</f>
        <v>1435315</v>
      </c>
      <c r="D50" s="41">
        <f>SUM(D34:D49)</f>
        <v>0</v>
      </c>
      <c r="E50" s="41">
        <f>SUM(E34:E49)</f>
        <v>8400</v>
      </c>
      <c r="F50" s="41">
        <f>SUM(F34:F49)</f>
        <v>693083</v>
      </c>
      <c r="G50" s="41">
        <f>SUM(G34:G49)</f>
        <v>306610.86</v>
      </c>
      <c r="H50" s="124"/>
      <c r="I50" s="124"/>
    </row>
    <row r="51" spans="1:9" ht="12" thickTop="1" x14ac:dyDescent="0.2">
      <c r="A51" s="38" t="s">
        <v>885</v>
      </c>
      <c r="B51" s="2"/>
      <c r="C51" s="41">
        <f>C50+C31</f>
        <v>1521003</v>
      </c>
      <c r="D51" s="41">
        <f>D50+D31</f>
        <v>11983</v>
      </c>
      <c r="E51" s="41">
        <f>E50+E31</f>
        <v>62755</v>
      </c>
      <c r="F51" s="41">
        <f>F50+F31</f>
        <v>868220</v>
      </c>
      <c r="G51" s="41">
        <f>G50+G31</f>
        <v>306610.86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10626572</v>
      </c>
      <c r="D56" s="95">
        <f>'DOE25'!G60</f>
        <v>0</v>
      </c>
      <c r="E56" s="95">
        <f>'DOE25'!H60</f>
        <v>0</v>
      </c>
      <c r="F56" s="95">
        <f>'DOE25'!I60</f>
        <v>0</v>
      </c>
      <c r="G56" s="95">
        <f>'DOE25'!J60</f>
        <v>0</v>
      </c>
      <c r="H56"/>
      <c r="I56"/>
    </row>
    <row r="57" spans="1:9" x14ac:dyDescent="0.2">
      <c r="A57" s="1" t="s">
        <v>164</v>
      </c>
      <c r="B57" s="6" t="s">
        <v>165</v>
      </c>
      <c r="C57" s="95">
        <f>'DOE25'!F79</f>
        <v>15306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226</v>
      </c>
      <c r="D59" s="95">
        <f>'DOE25'!G96</f>
        <v>0</v>
      </c>
      <c r="E59" s="95">
        <f>'DOE25'!H96</f>
        <v>0</v>
      </c>
      <c r="F59" s="95">
        <f>'DOE25'!I96</f>
        <v>122000</v>
      </c>
      <c r="G59" s="95">
        <f>'DOE25'!J96</f>
        <v>3516.41</v>
      </c>
      <c r="H59"/>
      <c r="I59"/>
    </row>
    <row r="60" spans="1:9" x14ac:dyDescent="0.2">
      <c r="A60" s="1" t="s">
        <v>170</v>
      </c>
      <c r="B60" s="118" t="s">
        <v>171</v>
      </c>
      <c r="C60" s="24" t="s">
        <v>288</v>
      </c>
      <c r="D60" s="95">
        <f>'DOE25'!G97</f>
        <v>104372</v>
      </c>
      <c r="E60" s="24" t="s">
        <v>288</v>
      </c>
      <c r="F60" s="24" t="s">
        <v>288</v>
      </c>
      <c r="G60" s="24" t="s">
        <v>288</v>
      </c>
      <c r="H60"/>
      <c r="I60"/>
    </row>
    <row r="61" spans="1:9" ht="12" thickBot="1" x14ac:dyDescent="0.25">
      <c r="A61" s="1" t="s">
        <v>172</v>
      </c>
      <c r="B61" s="118" t="s">
        <v>173</v>
      </c>
      <c r="C61" s="95">
        <f>SUM('DOE25'!F98:F110)</f>
        <v>65446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80978</v>
      </c>
      <c r="D62" s="130">
        <f>SUM(D57:D61)</f>
        <v>104372</v>
      </c>
      <c r="E62" s="130">
        <f>SUM(E57:E61)</f>
        <v>0</v>
      </c>
      <c r="F62" s="130">
        <f>SUM(F57:F61)</f>
        <v>122000</v>
      </c>
      <c r="G62" s="130">
        <f>SUM(G57:G61)</f>
        <v>3516.41</v>
      </c>
      <c r="H62"/>
      <c r="I62"/>
    </row>
    <row r="63" spans="1:9" ht="12" thickTop="1" x14ac:dyDescent="0.2">
      <c r="A63" s="29" t="s">
        <v>175</v>
      </c>
      <c r="B63" s="6"/>
      <c r="C63" s="22">
        <f>C56+C62</f>
        <v>10707550</v>
      </c>
      <c r="D63" s="22">
        <f>D56+D62</f>
        <v>104372</v>
      </c>
      <c r="E63" s="22">
        <f>E56+E62</f>
        <v>0</v>
      </c>
      <c r="F63" s="22">
        <f>F56+F62</f>
        <v>122000</v>
      </c>
      <c r="G63" s="22">
        <f>G56+G62</f>
        <v>3516.41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2189774</v>
      </c>
      <c r="D66" s="24" t="s">
        <v>288</v>
      </c>
      <c r="E66" s="24" t="s">
        <v>288</v>
      </c>
      <c r="F66" s="24" t="s">
        <v>288</v>
      </c>
      <c r="G66" s="24" t="s">
        <v>288</v>
      </c>
      <c r="H66"/>
      <c r="I66"/>
    </row>
    <row r="67" spans="1:9" x14ac:dyDescent="0.2">
      <c r="A67" s="1" t="s">
        <v>770</v>
      </c>
      <c r="B67" s="6">
        <v>3112</v>
      </c>
      <c r="C67" s="95">
        <f>'DOE25'!F118</f>
        <v>1652389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3842163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205532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2909</v>
      </c>
      <c r="E77" s="95">
        <f>SUM('DOE25'!H131:H135)</f>
        <v>0</v>
      </c>
      <c r="F77" s="95">
        <f>SUM('DOE25'!I131:I135)</f>
        <v>0</v>
      </c>
      <c r="G77" s="95">
        <f>SUM('DOE25'!J131:J135)</f>
        <v>0</v>
      </c>
      <c r="H77"/>
      <c r="I77"/>
    </row>
    <row r="78" spans="1:9" ht="12.75" thickTop="1" thickBot="1" x14ac:dyDescent="0.25">
      <c r="A78" s="29" t="s">
        <v>259</v>
      </c>
      <c r="B78" s="6"/>
      <c r="C78" s="130">
        <f>SUM(C72:C77)</f>
        <v>205532</v>
      </c>
      <c r="D78" s="130">
        <f>SUM(D72:D77)</f>
        <v>2909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4047695</v>
      </c>
      <c r="D81" s="130">
        <f>SUM(D79:D80)+D78+D70</f>
        <v>2909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1944</v>
      </c>
      <c r="D88" s="341">
        <f>SUM('DOE25'!G153:G162)</f>
        <v>29235</v>
      </c>
      <c r="E88" s="341">
        <f>SUM('DOE25'!H153:H162)</f>
        <v>192161</v>
      </c>
      <c r="F88" s="341">
        <f>SUM('DOE25'!I153:I162)</f>
        <v>0</v>
      </c>
      <c r="G88" s="24" t="s">
        <v>288</v>
      </c>
    </row>
    <row r="89" spans="1:9" x14ac:dyDescent="0.2">
      <c r="A89" t="s">
        <v>748</v>
      </c>
      <c r="B89" s="32" t="s">
        <v>185</v>
      </c>
      <c r="C89" s="95">
        <f>'DOE25'!F164+'DOE25'!F167+'DOE25'!F169</f>
        <v>0</v>
      </c>
      <c r="D89" s="95">
        <f>'DOE25'!G164+'DOE25'!G169</f>
        <v>0</v>
      </c>
      <c r="E89" s="95">
        <f>'DOE25'!H164+'DOE25'!H169</f>
        <v>10133</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1944</v>
      </c>
      <c r="D91" s="131">
        <f>SUM(D85:D90)</f>
        <v>29235</v>
      </c>
      <c r="E91" s="131">
        <f>SUM(E85:E90)</f>
        <v>202294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54773</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3819</v>
      </c>
      <c r="E96" s="95">
        <f>'DOE25'!H180</f>
        <v>0</v>
      </c>
      <c r="F96" s="95">
        <f>'DOE25'!I180</f>
        <v>0</v>
      </c>
      <c r="G96" s="95">
        <f>'DOE25'!J180</f>
        <v>15000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3819</v>
      </c>
      <c r="E103" s="86">
        <f>SUM(E93:E102)</f>
        <v>0</v>
      </c>
      <c r="F103" s="86">
        <f>SUM(F93:F102)</f>
        <v>54773</v>
      </c>
      <c r="G103" s="86">
        <f>SUM(G93:G102)</f>
        <v>15000</v>
      </c>
    </row>
    <row r="104" spans="1:7" ht="12.75" thickTop="1" thickBot="1" x14ac:dyDescent="0.25">
      <c r="A104" s="33" t="s">
        <v>761</v>
      </c>
      <c r="C104" s="86">
        <f>C63+C81+C91+C103</f>
        <v>14757189</v>
      </c>
      <c r="D104" s="86">
        <f>D63+D81+D91+D103</f>
        <v>140335</v>
      </c>
      <c r="E104" s="86">
        <f>E63+E81+E91+E103</f>
        <v>202294</v>
      </c>
      <c r="F104" s="86">
        <f>F63+F81+F91+F103</f>
        <v>176773</v>
      </c>
      <c r="G104" s="86">
        <f>G63+G81+G103</f>
        <v>18516.41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6952842.9699999997</v>
      </c>
      <c r="D109" s="24" t="s">
        <v>288</v>
      </c>
      <c r="E109" s="95">
        <f>('DOE25'!L277)+('DOE25'!L296)+('DOE25'!L315)</f>
        <v>38976.93</v>
      </c>
      <c r="F109" s="24" t="s">
        <v>288</v>
      </c>
      <c r="G109" s="24" t="s">
        <v>288</v>
      </c>
    </row>
    <row r="110" spans="1:7" x14ac:dyDescent="0.2">
      <c r="A110" t="s">
        <v>198</v>
      </c>
      <c r="B110" s="32" t="s">
        <v>199</v>
      </c>
      <c r="C110" s="95">
        <f>('DOE25'!L199)+('DOE25'!L217)+('DOE25'!L235)</f>
        <v>2586055.0599999996</v>
      </c>
      <c r="D110" s="24" t="s">
        <v>288</v>
      </c>
      <c r="E110" s="95">
        <f>('DOE25'!L278)+('DOE25'!L297)+('DOE25'!L316)</f>
        <v>7464.62</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61846.939999999995</v>
      </c>
      <c r="D112" s="24" t="s">
        <v>288</v>
      </c>
      <c r="E112" s="95">
        <f>+('DOE25'!L280)+('DOE25'!L299)+('DOE25'!L318)</f>
        <v>3532.5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9600744.9699999988</v>
      </c>
      <c r="D115" s="86">
        <f>SUM(D109:D114)</f>
        <v>0</v>
      </c>
      <c r="E115" s="86">
        <f>SUM(E109:E114)</f>
        <v>49974.05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640046.57999999996</v>
      </c>
      <c r="D118" s="24" t="s">
        <v>288</v>
      </c>
      <c r="E118" s="95">
        <f>+('DOE25'!L282)+('DOE25'!L301)+('DOE25'!L320)</f>
        <v>94834.77</v>
      </c>
      <c r="F118" s="24" t="s">
        <v>288</v>
      </c>
      <c r="G118" s="24" t="s">
        <v>288</v>
      </c>
    </row>
    <row r="119" spans="1:7" x14ac:dyDescent="0.2">
      <c r="A119" t="s">
        <v>208</v>
      </c>
      <c r="B119" s="32" t="s">
        <v>209</v>
      </c>
      <c r="C119" s="95">
        <f>('DOE25'!L204)+('DOE25'!L222)+('DOE25'!L240)</f>
        <v>268334.54000000004</v>
      </c>
      <c r="D119" s="24" t="s">
        <v>288</v>
      </c>
      <c r="E119" s="95">
        <f>+('DOE25'!L283)+('DOE25'!L302)+('DOE25'!L321)</f>
        <v>38751.22</v>
      </c>
      <c r="F119" s="24" t="s">
        <v>288</v>
      </c>
      <c r="G119" s="24" t="s">
        <v>288</v>
      </c>
    </row>
    <row r="120" spans="1:7" x14ac:dyDescent="0.2">
      <c r="A120" t="s">
        <v>210</v>
      </c>
      <c r="B120" s="32" t="s">
        <v>211</v>
      </c>
      <c r="C120" s="95">
        <f>('DOE25'!L205)+('DOE25'!L223)+('DOE25'!L241)</f>
        <v>362850.99</v>
      </c>
      <c r="D120" s="24" t="s">
        <v>288</v>
      </c>
      <c r="E120" s="95">
        <f>+('DOE25'!L284)+('DOE25'!L303)+('DOE25'!L322)</f>
        <v>0</v>
      </c>
      <c r="F120" s="24" t="s">
        <v>288</v>
      </c>
      <c r="G120" s="24" t="s">
        <v>288</v>
      </c>
    </row>
    <row r="121" spans="1:7" x14ac:dyDescent="0.2">
      <c r="A121" t="s">
        <v>212</v>
      </c>
      <c r="B121" s="32" t="s">
        <v>213</v>
      </c>
      <c r="C121" s="95">
        <f>('DOE25'!L206)+('DOE25'!L224)+('DOE25'!L242)</f>
        <v>451717.64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516208.76</v>
      </c>
      <c r="D123" s="24" t="s">
        <v>288</v>
      </c>
      <c r="E123" s="95">
        <f>+('DOE25'!L287)+('DOE25'!L306)+('DOE25'!L325)</f>
        <v>0</v>
      </c>
      <c r="F123" s="24" t="s">
        <v>288</v>
      </c>
      <c r="G123" s="24" t="s">
        <v>288</v>
      </c>
    </row>
    <row r="124" spans="1:7" x14ac:dyDescent="0.2">
      <c r="A124" t="s">
        <v>218</v>
      </c>
      <c r="B124" s="32" t="s">
        <v>219</v>
      </c>
      <c r="C124" s="95">
        <f>('DOE25'!L209)+('DOE25'!L227)+('DOE25'!L245+'DOE25'!L255)</f>
        <v>700169.14</v>
      </c>
      <c r="D124" s="24" t="s">
        <v>288</v>
      </c>
      <c r="E124" s="95">
        <f>+('DOE25'!L288)+('DOE25'!L307)+('DOE25'!L326)</f>
        <v>0</v>
      </c>
      <c r="F124" s="24" t="s">
        <v>288</v>
      </c>
      <c r="G124" s="24" t="s">
        <v>288</v>
      </c>
    </row>
    <row r="125" spans="1:7" x14ac:dyDescent="0.2">
      <c r="A125" t="s">
        <v>220</v>
      </c>
      <c r="B125" s="32" t="s">
        <v>221</v>
      </c>
      <c r="C125" s="95">
        <f>('DOE25'!L210)+('DOE25'!L228)+('DOE25'!L246)</f>
        <v>179017.45</v>
      </c>
      <c r="D125" s="24" t="s">
        <v>288</v>
      </c>
      <c r="E125" s="95">
        <f>+('DOE25'!L289)+('DOE25'!L308)+('DOE25'!L327)</f>
        <v>10333.959999999999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233088</v>
      </c>
      <c r="E127" s="24" t="s">
        <v>288</v>
      </c>
      <c r="F127" s="24" t="s">
        <v>288</v>
      </c>
      <c r="G127" s="24" t="s">
        <v>288</v>
      </c>
    </row>
    <row r="128" spans="1:7" ht="12.75" thickTop="1" thickBot="1" x14ac:dyDescent="0.25">
      <c r="A128" s="33" t="s">
        <v>226</v>
      </c>
      <c r="C128" s="86">
        <f>SUM(C118:C127)</f>
        <v>3118345.1</v>
      </c>
      <c r="D128" s="86">
        <f>SUM(D118:D127)</f>
        <v>233088</v>
      </c>
      <c r="E128" s="86">
        <f>SUM(E118:E127)</f>
        <v>143919.94999999998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6041428</v>
      </c>
      <c r="G130" s="24" t="s">
        <v>288</v>
      </c>
    </row>
    <row r="131" spans="1:7" x14ac:dyDescent="0.2">
      <c r="A131" t="s">
        <v>229</v>
      </c>
      <c r="B131" s="32">
        <v>5110</v>
      </c>
      <c r="C131" s="95">
        <f>'DOE25'!L261</f>
        <v>606000</v>
      </c>
      <c r="D131" s="24" t="s">
        <v>288</v>
      </c>
      <c r="E131" s="129">
        <f>'DOE25'!L342</f>
        <v>0</v>
      </c>
      <c r="F131" s="24" t="s">
        <v>288</v>
      </c>
      <c r="G131" s="24" t="s">
        <v>288</v>
      </c>
    </row>
    <row r="132" spans="1:7" x14ac:dyDescent="0.2">
      <c r="A132" t="s">
        <v>230</v>
      </c>
      <c r="B132" s="32">
        <v>5120</v>
      </c>
      <c r="C132" s="95">
        <f>'DOE25'!L262</f>
        <v>569325.5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3819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16671.04</v>
      </c>
      <c r="D138" s="24" t="s">
        <v>288</v>
      </c>
      <c r="E138" s="24" t="s">
        <v>288</v>
      </c>
      <c r="F138" s="24" t="s">
        <v>288</v>
      </c>
      <c r="G138" s="24" t="s">
        <v>288</v>
      </c>
    </row>
    <row r="139" spans="1:7" x14ac:dyDescent="0.2">
      <c r="A139" t="s">
        <v>239</v>
      </c>
      <c r="B139" s="32">
        <v>5252</v>
      </c>
      <c r="C139" s="95">
        <f>'DOE25'!L402</f>
        <v>1845.37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-3516.41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1194144.5000000002</v>
      </c>
      <c r="D144" s="141">
        <f>SUM(D130:D143)</f>
        <v>0</v>
      </c>
      <c r="E144" s="141">
        <f>SUM(E130:E143)</f>
        <v>0</v>
      </c>
      <c r="F144" s="141">
        <f>SUM(F130:F143)</f>
        <v>6041428</v>
      </c>
      <c r="G144" s="141">
        <f>SUM(G130:G143)</f>
        <v>0</v>
      </c>
    </row>
    <row r="145" spans="1:9" ht="12.75" thickTop="1" thickBot="1" x14ac:dyDescent="0.25">
      <c r="A145" s="33" t="s">
        <v>244</v>
      </c>
      <c r="C145" s="86">
        <f>(C115+C128+C144)</f>
        <v>13913234.569999998</v>
      </c>
      <c r="D145" s="86">
        <f>(D115+D128+D144)</f>
        <v>233088</v>
      </c>
      <c r="E145" s="86">
        <f>(E115+E128+E144)</f>
        <v>193894</v>
      </c>
      <c r="F145" s="86">
        <f>(F115+F128+F144)</f>
        <v>6041428</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6/2018</v>
      </c>
      <c r="C152" s="152">
        <f>'DOE25'!G492</f>
        <v>0</v>
      </c>
      <c r="D152" s="152">
        <f>'DOE25'!H492</f>
        <v>0</v>
      </c>
      <c r="E152" s="152">
        <f>'DOE25'!I492</f>
        <v>0</v>
      </c>
      <c r="F152" s="152">
        <f>'DOE25'!J492</f>
        <v>0</v>
      </c>
      <c r="G152" s="24" t="s">
        <v>288</v>
      </c>
    </row>
    <row r="153" spans="1:9" x14ac:dyDescent="0.2">
      <c r="A153" s="136" t="s">
        <v>29</v>
      </c>
      <c r="B153" s="152" t="str">
        <f>'DOE25'!F493</f>
        <v>8/33</v>
      </c>
      <c r="C153" s="152">
        <f>'DOE25'!G493</f>
        <v>0</v>
      </c>
      <c r="D153" s="152">
        <f>'DOE25'!H493</f>
        <v>0</v>
      </c>
      <c r="E153" s="152">
        <f>'DOE25'!I493</f>
        <v>0</v>
      </c>
      <c r="F153" s="152">
        <f>'DOE25'!J493</f>
        <v>0</v>
      </c>
      <c r="G153" s="24" t="s">
        <v>288</v>
      </c>
    </row>
    <row r="154" spans="1:9" x14ac:dyDescent="0.2">
      <c r="A154" s="136" t="s">
        <v>30</v>
      </c>
      <c r="B154" s="137">
        <f>'DOE25'!F494</f>
        <v>14300000</v>
      </c>
      <c r="C154" s="137">
        <f>'DOE25'!G494</f>
        <v>0</v>
      </c>
      <c r="D154" s="137">
        <f>'DOE25'!H494</f>
        <v>0</v>
      </c>
      <c r="E154" s="137">
        <f>'DOE25'!I494</f>
        <v>0</v>
      </c>
      <c r="F154" s="137">
        <f>'DOE25'!J494</f>
        <v>0</v>
      </c>
      <c r="G154" s="24" t="s">
        <v>288</v>
      </c>
    </row>
    <row r="155" spans="1:9" x14ac:dyDescent="0.2">
      <c r="A155" s="136" t="s">
        <v>31</v>
      </c>
      <c r="B155" s="137">
        <f>'DOE25'!F495</f>
        <v>3</v>
      </c>
      <c r="C155" s="137">
        <f>'DOE25'!G495</f>
        <v>0</v>
      </c>
      <c r="D155" s="137">
        <f>'DOE25'!H495</f>
        <v>0</v>
      </c>
      <c r="E155" s="137">
        <f>'DOE25'!I495</f>
        <v>0</v>
      </c>
      <c r="F155" s="137">
        <f>'DOE25'!J495</f>
        <v>0</v>
      </c>
      <c r="G155" s="24" t="s">
        <v>288</v>
      </c>
    </row>
    <row r="156" spans="1:9" x14ac:dyDescent="0.2">
      <c r="A156" s="22" t="s">
        <v>32</v>
      </c>
      <c r="B156" s="137">
        <f>'DOE25'!F496</f>
        <v>12535000</v>
      </c>
      <c r="C156" s="137">
        <f>'DOE25'!G496</f>
        <v>0</v>
      </c>
      <c r="D156" s="137">
        <f>'DOE25'!H496</f>
        <v>0</v>
      </c>
      <c r="E156" s="137">
        <f>'DOE25'!I496</f>
        <v>0</v>
      </c>
      <c r="F156" s="137">
        <f>'DOE25'!J496</f>
        <v>0</v>
      </c>
      <c r="G156" s="138">
        <f>SUM(B156:F156)</f>
        <v>12535000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12535000</v>
      </c>
      <c r="C159" s="137">
        <f>'DOE25'!G499</f>
        <v>0</v>
      </c>
      <c r="D159" s="137">
        <f>'DOE25'!H499</f>
        <v>0</v>
      </c>
      <c r="E159" s="137">
        <f>'DOE25'!I499</f>
        <v>0</v>
      </c>
      <c r="F159" s="137">
        <f>'DOE25'!J499</f>
        <v>0</v>
      </c>
      <c r="G159" s="138">
        <f t="shared" si="0"/>
        <v>12535000</v>
      </c>
    </row>
    <row r="160" spans="1:9" x14ac:dyDescent="0.2">
      <c r="A160" s="22" t="s">
        <v>36</v>
      </c>
      <c r="B160" s="137">
        <f>'DOE25'!F500</f>
        <v>3930808.75</v>
      </c>
      <c r="C160" s="137">
        <f>'DOE25'!G500</f>
        <v>0</v>
      </c>
      <c r="D160" s="137">
        <f>'DOE25'!H500</f>
        <v>0</v>
      </c>
      <c r="E160" s="137">
        <f>'DOE25'!I500</f>
        <v>0</v>
      </c>
      <c r="F160" s="137">
        <f>'DOE25'!J500</f>
        <v>0</v>
      </c>
      <c r="G160" s="138">
        <f t="shared" si="0"/>
        <v>3930808.75</v>
      </c>
    </row>
    <row r="161" spans="1:7" x14ac:dyDescent="0.2">
      <c r="A161" s="22" t="s">
        <v>37</v>
      </c>
      <c r="B161" s="137">
        <f>'DOE25'!F501</f>
        <v>16465808.75</v>
      </c>
      <c r="C161" s="137">
        <f>'DOE25'!G501</f>
        <v>0</v>
      </c>
      <c r="D161" s="137">
        <f>'DOE25'!H501</f>
        <v>0</v>
      </c>
      <c r="E161" s="137">
        <f>'DOE25'!I501</f>
        <v>0</v>
      </c>
      <c r="F161" s="137">
        <f>'DOE25'!J501</f>
        <v>0</v>
      </c>
      <c r="G161" s="138">
        <f t="shared" si="0"/>
        <v>16465808.75</v>
      </c>
    </row>
    <row r="162" spans="1:7" x14ac:dyDescent="0.2">
      <c r="A162" s="22" t="s">
        <v>38</v>
      </c>
      <c r="B162" s="137">
        <f>'DOE25'!F502</f>
        <v>640000</v>
      </c>
      <c r="C162" s="137">
        <f>'DOE25'!G502</f>
        <v>0</v>
      </c>
      <c r="D162" s="137">
        <f>'DOE25'!H502</f>
        <v>0</v>
      </c>
      <c r="E162" s="137">
        <f>'DOE25'!I502</f>
        <v>0</v>
      </c>
      <c r="F162" s="137">
        <f>'DOE25'!J502</f>
        <v>0</v>
      </c>
      <c r="G162" s="138">
        <f t="shared" si="0"/>
        <v>640000</v>
      </c>
    </row>
    <row r="163" spans="1:7" x14ac:dyDescent="0.2">
      <c r="A163" s="22" t="s">
        <v>39</v>
      </c>
      <c r="B163" s="137">
        <f>'DOE25'!F503</f>
        <v>537552.5</v>
      </c>
      <c r="C163" s="137">
        <f>'DOE25'!G503</f>
        <v>0</v>
      </c>
      <c r="D163" s="137">
        <f>'DOE25'!H503</f>
        <v>0</v>
      </c>
      <c r="E163" s="137">
        <f>'DOE25'!I503</f>
        <v>0</v>
      </c>
      <c r="F163" s="137">
        <f>'DOE25'!J503</f>
        <v>0</v>
      </c>
      <c r="G163" s="138">
        <f t="shared" si="0"/>
        <v>537552.5</v>
      </c>
    </row>
    <row r="164" spans="1:7" x14ac:dyDescent="0.2">
      <c r="A164" s="22" t="s">
        <v>246</v>
      </c>
      <c r="B164" s="137">
        <f>'DOE25'!F504</f>
        <v>1177552.5</v>
      </c>
      <c r="C164" s="137">
        <f>'DOE25'!G504</f>
        <v>0</v>
      </c>
      <c r="D164" s="137">
        <f>'DOE25'!H504</f>
        <v>0</v>
      </c>
      <c r="E164" s="137">
        <f>'DOE25'!I504</f>
        <v>0</v>
      </c>
      <c r="F164" s="137">
        <f>'DOE25'!J504</f>
        <v>0</v>
      </c>
      <c r="G164" s="138">
        <f t="shared" si="0"/>
        <v>1177552.5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Auburn School District</v>
      </c>
    </row>
    <row r="3" spans="1:4" x14ac:dyDescent="0.2">
      <c r="B3" s="188" t="s">
        <v>1587</v>
      </c>
    </row>
    <row r="4" spans="1:4" x14ac:dyDescent="0.2">
      <c r="B4" t="s">
        <v>61</v>
      </c>
      <c r="C4" s="179">
        <f>IF('DOE25'!F666+'DOE25'!F671=0,0,ROUND('DOE25'!F673,0))</f>
        <v>11910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11910</v>
      </c>
    </row>
    <row r="9" spans="1:4" x14ac:dyDescent="0.2">
      <c r="A9" s="187" t="s">
        <v>94</v>
      </c>
      <c r="B9" s="188" t="s">
        <v>1588</v>
      </c>
      <c r="C9" s="181" t="s">
        <v>720</v>
      </c>
      <c r="D9" s="181" t="s">
        <v>721</v>
      </c>
    </row>
    <row r="10" spans="1:4" x14ac:dyDescent="0.2">
      <c r="A10">
        <v>1100</v>
      </c>
      <c r="B10" t="s">
        <v>702</v>
      </c>
      <c r="C10" s="179">
        <f>ROUND('DOE25'!L198+'DOE25'!L216+'DOE25'!L234+'DOE25'!L277+'DOE25'!L296+'DOE25'!L315,0)</f>
        <v>6991820</v>
      </c>
      <c r="D10" s="182">
        <f>ROUND((C10/$C$28)*100,1)</f>
        <v>51.4</v>
      </c>
    </row>
    <row r="11" spans="1:4" x14ac:dyDescent="0.2">
      <c r="A11">
        <v>1200</v>
      </c>
      <c r="B11" t="s">
        <v>703</v>
      </c>
      <c r="C11" s="179">
        <f>ROUND('DOE25'!L199+'DOE25'!L217+'DOE25'!L235+'DOE25'!L278+'DOE25'!L297+'DOE25'!L316,0)</f>
        <v>2593520</v>
      </c>
      <c r="D11" s="182">
        <f>ROUND((C11/$C$28)*100,1)</f>
        <v>19.100000000000001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65379</v>
      </c>
      <c r="D13" s="182">
        <f>ROUND((C13/$C$28)*100,1)</f>
        <v>0.5</v>
      </c>
    </row>
    <row r="14" spans="1:4" x14ac:dyDescent="0.2">
      <c r="D14" s="182"/>
    </row>
    <row r="15" spans="1:4" x14ac:dyDescent="0.2">
      <c r="A15">
        <v>2100</v>
      </c>
      <c r="B15" t="s">
        <v>706</v>
      </c>
      <c r="C15" s="179">
        <f>ROUND('DOE25'!L203+'DOE25'!L221+'DOE25'!L239+'DOE25'!L282+'DOE25'!L301+'DOE25'!L320,0)</f>
        <v>734881</v>
      </c>
      <c r="D15" s="182">
        <f t="shared" ref="D15:D27" si="0">ROUND((C15/$C$28)*100,1)</f>
        <v>5.4</v>
      </c>
    </row>
    <row r="16" spans="1:4" x14ac:dyDescent="0.2">
      <c r="A16">
        <v>2200</v>
      </c>
      <c r="B16" t="s">
        <v>707</v>
      </c>
      <c r="C16" s="179">
        <f>ROUND('DOE25'!L204+'DOE25'!L222+'DOE25'!L240+'DOE25'!L283+'DOE25'!L302+'DOE25'!L321,0)</f>
        <v>307086</v>
      </c>
      <c r="D16" s="182">
        <f t="shared" si="0"/>
        <v>2.2999999999999998</v>
      </c>
    </row>
    <row r="17" spans="1:4" x14ac:dyDescent="0.2">
      <c r="A17" s="183" t="s">
        <v>723</v>
      </c>
      <c r="B17" t="s">
        <v>738</v>
      </c>
      <c r="C17" s="179">
        <f>ROUND('DOE25'!L205+'DOE25'!L210+'DOE25'!L223+'DOE25'!L228+'DOE25'!L241+'DOE25'!L246+'DOE25'!L284+'DOE25'!L289+'DOE25'!L303+'DOE25'!L308+'DOE25'!L322+'DOE25'!L327,0)</f>
        <v>552202</v>
      </c>
      <c r="D17" s="182">
        <f t="shared" si="0"/>
        <v>4.0999999999999996</v>
      </c>
    </row>
    <row r="18" spans="1:4" x14ac:dyDescent="0.2">
      <c r="A18">
        <v>2400</v>
      </c>
      <c r="B18" t="s">
        <v>711</v>
      </c>
      <c r="C18" s="179">
        <f>ROUND('DOE25'!L206+'DOE25'!L224+'DOE25'!L242+'DOE25'!L285+'DOE25'!L304+'DOE25'!L323,0)</f>
        <v>451718</v>
      </c>
      <c r="D18" s="182">
        <f t="shared" si="0"/>
        <v>3.3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516209</v>
      </c>
      <c r="D20" s="182">
        <f t="shared" si="0"/>
        <v>3.8</v>
      </c>
    </row>
    <row r="21" spans="1:4" x14ac:dyDescent="0.2">
      <c r="A21">
        <v>2700</v>
      </c>
      <c r="B21" t="s">
        <v>710</v>
      </c>
      <c r="C21" s="179">
        <f>ROUND('DOE25'!L209+'DOE25'!L227+'DOE25'!L245+'DOE25'!L288+'DOE25'!L307+'DOE25'!L326,0)</f>
        <v>700169</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569326</v>
      </c>
      <c r="D25" s="182">
        <f t="shared" si="0"/>
        <v>4.2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128716</v>
      </c>
      <c r="D27" s="182">
        <f t="shared" si="0"/>
        <v>0.9</v>
      </c>
    </row>
    <row r="28" spans="1:4" x14ac:dyDescent="0.2">
      <c r="B28" s="187" t="s">
        <v>719</v>
      </c>
      <c r="C28" s="180">
        <f>SUM(C10:C27)</f>
        <v>13611026</v>
      </c>
      <c r="D28" s="184">
        <f>ROUND(SUM(D10:D27),0)</f>
        <v>100</v>
      </c>
    </row>
    <row r="29" spans="1:4" x14ac:dyDescent="0.2">
      <c r="A29">
        <v>4000</v>
      </c>
      <c r="B29" t="s">
        <v>724</v>
      </c>
      <c r="C29" s="179">
        <f>ROUND('DOE25'!L256+'DOE25'!L337+'DOE25'!L375+'DOE25'!L376+'DOE25'!L377+'DOE25'!L378+'DOE25'!L379+'DOE25'!L380+'DOE25'!L381,0)</f>
        <v>6041428</v>
      </c>
    </row>
    <row r="30" spans="1:4" x14ac:dyDescent="0.2">
      <c r="B30" s="187" t="s">
        <v>725</v>
      </c>
      <c r="C30" s="180">
        <f>SUM(C28:C29)</f>
        <v>19652454</v>
      </c>
    </row>
    <row r="31" spans="1:4" x14ac:dyDescent="0.2">
      <c r="B31" s="33"/>
      <c r="C31" s="180"/>
    </row>
    <row r="32" spans="1:4" x14ac:dyDescent="0.2">
      <c r="A32">
        <v>5100</v>
      </c>
      <c r="B32" s="33" t="s">
        <v>726</v>
      </c>
      <c r="C32" s="180">
        <f>ROUND('DOE25'!L261+'DOE25'!L342,0)</f>
        <v>606000</v>
      </c>
    </row>
    <row r="34" spans="1:4" x14ac:dyDescent="0.2">
      <c r="A34" s="187" t="s">
        <v>94</v>
      </c>
      <c r="B34" s="188" t="s">
        <v>1589</v>
      </c>
      <c r="C34" s="181" t="s">
        <v>720</v>
      </c>
      <c r="D34" s="181" t="s">
        <v>721</v>
      </c>
    </row>
    <row r="35" spans="1:4" x14ac:dyDescent="0.2">
      <c r="A35">
        <v>1100</v>
      </c>
      <c r="B35" s="185" t="s">
        <v>727</v>
      </c>
      <c r="C35" s="179">
        <f>ROUND('DOE25'!F60+'DOE25'!G60+'DOE25'!H60+'DOE25'!I60+'DOE25'!J60,0)</f>
        <v>10626572</v>
      </c>
      <c r="D35" s="182">
        <f t="shared" ref="D35:D40" si="1">ROUND((C35/$C$41)*100,1)</f>
        <v>70</v>
      </c>
    </row>
    <row r="36" spans="1:4" x14ac:dyDescent="0.2">
      <c r="B36" s="185" t="s">
        <v>739</v>
      </c>
      <c r="C36" s="179">
        <f>SUM('DOE25'!F112:J112)-SUM('DOE25'!G97:G110)+('DOE25'!F175+'DOE25'!F176+'DOE25'!I175+'DOE25'!I176)-C35</f>
        <v>261267.41000000015</v>
      </c>
      <c r="D36" s="182">
        <f t="shared" si="1"/>
        <v>1.7</v>
      </c>
    </row>
    <row r="37" spans="1:4" x14ac:dyDescent="0.2">
      <c r="A37" s="183" t="s">
        <v>835</v>
      </c>
      <c r="B37" s="185" t="s">
        <v>728</v>
      </c>
      <c r="C37" s="179">
        <f>ROUND('DOE25'!F117+'DOE25'!F118,0)</f>
        <v>3842163</v>
      </c>
      <c r="D37" s="182">
        <f t="shared" si="1"/>
        <v>25.3</v>
      </c>
    </row>
    <row r="38" spans="1:4" x14ac:dyDescent="0.2">
      <c r="A38" s="183" t="s">
        <v>734</v>
      </c>
      <c r="B38" s="185" t="s">
        <v>729</v>
      </c>
      <c r="C38" s="179">
        <f>ROUND(SUM('DOE25'!F140:J140)-SUM('DOE25'!F117:F119),0)</f>
        <v>208441</v>
      </c>
      <c r="D38" s="182">
        <f t="shared" si="1"/>
        <v>1.4</v>
      </c>
    </row>
    <row r="39" spans="1:4" x14ac:dyDescent="0.2">
      <c r="A39">
        <v>4000</v>
      </c>
      <c r="B39" s="185" t="s">
        <v>730</v>
      </c>
      <c r="C39" s="179">
        <f>ROUND('DOE25'!F170+'DOE25'!G170+'DOE25'!H170+'DOE25'!I170,0)</f>
        <v>233473</v>
      </c>
      <c r="D39" s="182">
        <f t="shared" si="1"/>
        <v>1.5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15171916.41</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Auburn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2020-09-28T16:26:29Z</cp:lastPrinted>
  <dcterms:created xsi:type="dcterms:W3CDTF">1997-12-04T19:04:30Z</dcterms:created>
  <dcterms:modified xsi:type="dcterms:W3CDTF">2020-12-09T16:15:19Z</dcterms:modified>
</cp:coreProperties>
</file>