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W'!$A$1:$G$40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I280" i="1" l="1"/>
  <c r="H2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1" i="14"/>
  <c r="C12" i="14"/>
  <c r="C13" i="14"/>
  <c r="C15" i="14"/>
  <c r="C16" i="14"/>
  <c r="C17" i="14"/>
  <c r="C19" i="14"/>
  <c r="C20" i="14"/>
  <c r="B6" i="14"/>
  <c r="C6" i="14" s="1"/>
  <c r="B7" i="14"/>
  <c r="B8" i="14"/>
  <c r="B9" i="14"/>
  <c r="B10" i="14"/>
  <c r="C10" i="14" s="1"/>
  <c r="B11" i="14"/>
  <c r="B12" i="14"/>
  <c r="B13" i="14"/>
  <c r="B14" i="14"/>
  <c r="C14" i="14" s="1"/>
  <c r="B15" i="14"/>
  <c r="B16" i="14"/>
  <c r="B17" i="14"/>
  <c r="B18" i="14"/>
  <c r="C18" i="14" s="1"/>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40" i="1" s="1"/>
  <c r="J136" i="1"/>
  <c r="F147" i="1"/>
  <c r="F170" i="1"/>
  <c r="G147" i="1"/>
  <c r="H147" i="1"/>
  <c r="H170" i="1" s="1"/>
  <c r="I147" i="1"/>
  <c r="C11" i="10"/>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19"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51" i="1"/>
  <c r="G652" i="1"/>
  <c r="J652" i="1" s="1"/>
  <c r="G653" i="1"/>
  <c r="H653" i="1"/>
  <c r="G654" i="1"/>
  <c r="H654" i="1"/>
  <c r="G655" i="1"/>
  <c r="H655" i="1"/>
  <c r="H656" i="1"/>
  <c r="J572" i="1"/>
  <c r="I170" i="1"/>
  <c r="C91" i="2" l="1"/>
  <c r="D50" i="2"/>
  <c r="G553" i="1"/>
  <c r="H112" i="1"/>
  <c r="E112" i="2"/>
  <c r="H462" i="1"/>
  <c r="H642" i="1" s="1"/>
  <c r="G339" i="1"/>
  <c r="G353" i="1" s="1"/>
  <c r="L257" i="1"/>
  <c r="H193" i="1"/>
  <c r="E120" i="2"/>
  <c r="F258" i="1"/>
  <c r="H477" i="1"/>
  <c r="H625" i="1" s="1"/>
  <c r="J625" i="1" s="1"/>
  <c r="L402" i="1"/>
  <c r="C139" i="2" s="1"/>
  <c r="H409" i="1"/>
  <c r="H645" i="1" s="1"/>
  <c r="J645" i="1" s="1"/>
  <c r="G646" i="1"/>
  <c r="C13" i="10"/>
  <c r="J656" i="1"/>
  <c r="C110" i="2"/>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G36" i="14" s="1"/>
  <c r="H36" i="14" s="1"/>
  <c r="I36" i="14" s="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D103" i="2"/>
  <c r="I140" i="1"/>
  <c r="A22" i="12"/>
  <c r="H649" i="1"/>
  <c r="J653" i="1"/>
  <c r="G572" i="1"/>
  <c r="I435" i="1"/>
  <c r="G435" i="1"/>
  <c r="I664" i="1"/>
  <c r="C141" i="2" l="1"/>
  <c r="L572" i="1"/>
  <c r="H665" i="1"/>
  <c r="H668" i="1" s="1"/>
  <c r="C81" i="2"/>
  <c r="F194" i="1"/>
  <c r="G628" i="1" s="1"/>
  <c r="J628" i="1" s="1"/>
  <c r="F661" i="1"/>
  <c r="F665" i="1" s="1"/>
  <c r="F668" i="1" s="1"/>
  <c r="E145" i="2"/>
  <c r="E104" i="2"/>
  <c r="C36" i="10"/>
  <c r="L435" i="1"/>
  <c r="G639" i="1" s="1"/>
  <c r="J639"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<sst xmlns="http://schemas.openxmlformats.org/spreadsheetml/2006/main" count="5548" uniqueCount="1646">
  <si>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</si>
  <si>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</si>
  <si>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</si>
  <si>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</si>
  <si>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</si>
  <si>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</si>
  <si>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</si>
  <si>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</si>
  <si>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</si>
  <si>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</si>
  <si>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</si>
  <si>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</si>
  <si>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</si>
  <si>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</si>
  <si>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</si>
  <si>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</si>
  <si>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</si>
  <si>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</si>
  <si>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</si>
  <si>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</si>
  <si>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</si>
  <si>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</si>
  <si>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</si>
  <si>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</si>
  <si>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</si>
  <si>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</si>
  <si>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</si>
  <si>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</si>
  <si>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</si>
  <si>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</si>
  <si>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</si>
  <si>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</si>
  <si>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</si>
  <si>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</si>
  <si>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</si>
  <si>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</si>
  <si>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</si>
  <si>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</si>
  <si>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</si>
  <si>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</si>
  <si>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</si>
  <si>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</si>
  <si>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</si>
  <si>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</si>
  <si>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</si>
  <si>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</si>
  <si>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</si>
  <si>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</si>
  <si>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</si>
  <si>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</si>
  <si>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</si>
  <si>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</si>
  <si>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</si>
  <si>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</si>
  <si>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</si>
  <si>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</si>
  <si>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</si>
  <si>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</si>
  <si>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</si>
  <si>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</si>
  <si>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</si>
  <si>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</si>
  <si>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</si>
  <si>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</si>
  <si>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</si>
  <si>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</si>
  <si>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</si>
  <si>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</si>
  <si>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</si>
  <si>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</si>
  <si>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</si>
  <si>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</si>
  <si>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</si>
  <si>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</si>
  <si>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</si>
  <si>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</si>
  <si>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</si>
  <si>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</si>
  <si>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</si>
  <si>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</si>
  <si>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</si>
  <si>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</si>
  <si>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</si>
  <si>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</si>
  <si>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</si>
  <si>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</si>
  <si>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</si>
  <si>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</si>
  <si>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</si>
  <si>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</si>
  <si>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</si>
  <si>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</si>
  <si>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</si>
  <si>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</si>
  <si>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</si>
  <si>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</si>
  <si>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</si>
  <si>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</si>
  <si>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</si>
  <si>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</si>
  <si>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</si>
  <si>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</si>
  <si>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</si>
  <si>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</si>
  <si>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</si>
  <si>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</si>
  <si>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</si>
  <si>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</si>
  <si>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</si>
  <si>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</si>
  <si>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</si>
  <si>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</si>
  <si>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</si>
  <si>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</si>
  <si>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</si>
  <si>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</si>
  <si>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</si>
  <si>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</si>
  <si>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</si>
  <si>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</si>
  <si>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</si>
  <si>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</si>
  <si>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</si>
  <si>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</si>
  <si>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</si>
  <si>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</si>
  <si>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</si>
  <si>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</si>
  <si>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</si>
  <si>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</si>
  <si>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</si>
  <si>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</si>
  <si>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</si>
  <si>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</si>
  <si>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</si>
  <si>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</si>
  <si>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</si>
  <si>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</si>
  <si>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</si>
  <si>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</si>
  <si>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</si>
  <si>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</si>
  <si>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</si>
  <si>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</si>
  <si>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</si>
  <si>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</si>
  <si>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</si>
  <si>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</si>
  <si>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</si>
  <si>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</si>
  <si>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</si>
  <si>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</si>
  <si>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</si>
  <si>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</si>
  <si>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</si>
  <si>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</si>
  <si>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</si>
  <si>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</si>
  <si>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</si>
  <si>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</si>
  <si>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</si>
  <si>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</si>
  <si>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</si>
  <si>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</si>
  <si>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</si>
  <si>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</si>
  <si>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</si>
  <si>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</si>
  <si>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</si>
  <si>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</si>
  <si>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</si>
  <si>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</si>
  <si>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</si>
  <si>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</si>
  <si>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</si>
  <si>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</si>
  <si>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</si>
  <si>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</si>
  <si>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</si>
  <si>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</si>
  <si>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</si>
  <si>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</si>
  <si>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</si>
  <si>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</si>
  <si>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</si>
  <si>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</si>
  <si>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</si>
  <si>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</si>
  <si>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</si>
  <si>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</si>
  <si>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</si>
  <si>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</si>
  <si>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</si>
  <si>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</si>
  <si>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</si>
  <si>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</si>
  <si>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</si>
  <si>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</si>
  <si>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</si>
  <si>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</si>
  <si>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</si>
  <si>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</si>
  <si>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</si>
  <si>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</si>
  <si>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</si>
  <si>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</si>
  <si>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</si>
  <si>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</si>
  <si>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</si>
  <si>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</si>
  <si>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</si>
  <si>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</si>
  <si>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</si>
  <si>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</si>
  <si>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</si>
  <si>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</si>
  <si>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</si>
  <si>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</si>
  <si>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</si>
  <si>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</si>
  <si>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</si>
  <si>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</si>
  <si>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</si>
  <si>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</si>
  <si>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</si>
  <si>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</si>
  <si>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</si>
  <si>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</si>
  <si>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</si>
  <si>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</si>
  <si>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</si>
  <si>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</si>
  <si>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</si>
  <si>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</si>
  <si>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</si>
  <si>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</si>
  <si>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</si>
  <si>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</si>
  <si>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</si>
  <si>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</si>
  <si>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</si>
  <si>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</si>
  <si>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</si>
  <si>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</si>
  <si>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</si>
  <si>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</si>
  <si>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</si>
  <si>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</si>
  <si>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</si>
  <si>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</si>
  <si>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</si>
  <si>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</si>
  <si>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</si>
  <si>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</si>
  <si>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</si>
  <si>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</si>
  <si>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</si>
  <si>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</si>
  <si>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</si>
  <si>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</si>
  <si>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</si>
  <si>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</si>
  <si>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</si>
  <si>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</si>
  <si>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</si>
  <si>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</si>
  <si>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</si>
  <si>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</si>
  <si>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</si>
  <si>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</si>
  <si>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</si>
  <si>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</si>
  <si>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</si>
  <si>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</si>
  <si>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</si>
  <si>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</si>
  <si>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</si>
  <si>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</si>
  <si>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</si>
  <si>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</si>
  <si>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</si>
  <si>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</si>
  <si>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</si>
  <si>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</si>
  <si>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</si>
  <si>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</si>
  <si>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</si>
  <si>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</si>
  <si>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</si>
  <si>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</si>
  <si>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</si>
  <si>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</si>
  <si>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</si>
  <si>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</si>
  <si>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</si>
  <si>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</si>
  <si>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</si>
  <si>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</si>
  <si>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</si>
  <si>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</si>
  <si>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</si>
  <si>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</si>
  <si>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</si>
  <si>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</si>
  <si>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</si>
  <si>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</si>
  <si>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</si>
  <si>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</si>
  <si>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</si>
  <si>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</si>
  <si>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</si>
  <si>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</si>
  <si>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</si>
  <si>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</si>
  <si>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</si>
  <si>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</si>
  <si>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</si>
  <si>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</si>
  <si>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</si>
  <si>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</si>
  <si>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</si>
  <si>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</si>
  <si>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</si>
  <si>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</si>
  <si>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</si>
  <si>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</si>
  <si>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</si>
  <si>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</si>
  <si>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</si>
  <si>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</si>
  <si>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</si>
  <si>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</si>
  <si>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</si>
  <si>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</si>
  <si>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</si>
  <si>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</si>
  <si>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</si>
  <si>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</si>
  <si>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</si>
  <si>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</si>
  <si>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</si>
  <si>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</si>
  <si>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</si>
  <si>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</si>
  <si>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</si>
  <si>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</si>
  <si>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</si>
  <si>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</si>
  <si>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</si>
  <si>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</si>
  <si>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</si>
  <si>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</si>
  <si>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</si>
  <si>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</si>
  <si>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</si>
  <si>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</si>
  <si>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</si>
  <si>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</si>
  <si>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</si>
  <si>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</si>
  <si>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</si>
  <si>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</si>
  <si>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</si>
  <si>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</si>
  <si>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</si>
  <si>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</si>
  <si>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</si>
  <si>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</si>
  <si>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</si>
  <si>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</si>
  <si>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</si>
  <si>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</si>
  <si>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</si>
  <si>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</si>
  <si>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</si>
  <si>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</si>
  <si>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</si>
  <si>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</si>
  <si>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</si>
  <si>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</si>
  <si>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</si>
  <si>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</si>
  <si>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</si>
  <si>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</si>
  <si>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</si>
  <si>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</si>
  <si>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</si>
  <si>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</si>
  <si>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</si>
  <si>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</si>
  <si>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</si>
  <si>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</si>
  <si>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</si>
  <si>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</si>
  <si>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</si>
  <si>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</si>
  <si>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</si>
  <si>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</si>
  <si>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</si>
  <si>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</si>
  <si>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</si>
  <si>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</si>
  <si>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</si>
  <si>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</si>
  <si>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</si>
  <si>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</si>
  <si>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</si>
  <si>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</si>
  <si>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</si>
  <si>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</si>
  <si>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</si>
  <si>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</si>
  <si>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</si>
  <si>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</si>
  <si>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</si>
  <si>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</si>
  <si>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</si>
  <si>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</si>
  <si>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</si>
  <si>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</si>
  <si>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</si>
  <si>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</si>
  <si>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</si>
  <si>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</si>
  <si>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</si>
  <si>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</si>
  <si>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</si>
  <si>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</si>
  <si>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</si>
  <si>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</si>
  <si>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</si>
  <si>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</si>
  <si>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</si>
  <si>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</si>
  <si>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</si>
  <si>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</si>
  <si>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</si>
  <si>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</si>
  <si>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</si>
  <si>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</si>
  <si>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</si>
  <si>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</si>
  <si>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</si>
  <si>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</si>
  <si>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</si>
  <si>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</si>
  <si>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</si>
  <si>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</si>
  <si>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</si>
  <si>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</si>
  <si>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</si>
  <si>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</si>
  <si>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</si>
  <si>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</si>
  <si>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</si>
  <si>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</si>
  <si>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</si>
  <si>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</si>
  <si>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</si>
  <si>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</si>
  <si>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</si>
  <si>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</si>
  <si>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</si>
  <si>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</si>
  <si>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</si>
  <si>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</si>
  <si>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</si>
  <si>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</si>
  <si>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</si>
  <si>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</si>
  <si>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</si>
  <si>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</si>
  <si>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</si>
  <si>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</si>
  <si>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</si>
  <si>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</si>
  <si>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</si>
  <si>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</si>
  <si>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</si>
  <si>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</si>
  <si>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</si>
  <si>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</si>
  <si>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</si>
  <si>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</si>
  <si>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</si>
  <si>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</si>
  <si>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</si>
  <si>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</si>
  <si>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</si>
  <si>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</si>
  <si>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</si>
  <si>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</si>
  <si>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</si>
  <si>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</si>
  <si>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</si>
  <si>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</si>
  <si>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</si>
  <si>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</si>
  <si>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</si>
  <si>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</si>
  <si>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</si>
  <si>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</si>
  <si>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</si>
  <si>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</si>
  <si>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</si>
  <si>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</si>
  <si>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</si>
  <si>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</si>
  <si>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</si>
  <si>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</si>
  <si>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</si>
  <si>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</si>
  <si>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</si>
  <si>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</si>
  <si>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</si>
  <si>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</si>
  <si>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</si>
  <si>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</si>
  <si>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</si>
  <si>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</si>
  <si>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</si>
  <si>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</si>
  <si>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</si>
  <si>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</si>
  <si>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</si>
  <si>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</si>
  <si>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</si>
  <si>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</si>
  <si>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</si>
  <si>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</si>
  <si>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</si>
  <si>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</si>
  <si>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</si>
  <si>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</si>
  <si>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</si>
  <si>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</si>
  <si>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</si>
  <si>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</si>
  <si>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</si>
  <si>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</si>
  <si>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</si>
  <si>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</si>
  <si>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</si>
  <si>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</si>
  <si>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</si>
  <si>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</si>
  <si>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</si>
  <si>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</si>
  <si>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</si>
  <si>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</si>
  <si>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</si>
  <si>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</si>
  <si>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</si>
  <si>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</si>
  <si>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</si>
  <si>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</si>
  <si>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</si>
  <si>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</si>
  <si>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</si>
  <si>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</si>
  <si>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</si>
  <si>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</si>
  <si>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</si>
  <si>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</si>
  <si>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</si>
  <si>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</si>
  <si>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</si>
  <si>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</si>
  <si>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</si>
  <si>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</si>
  <si>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</si>
  <si>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</si>
  <si>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</si>
  <si>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</si>
  <si>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</si>
  <si>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</si>
  <si>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</si>
  <si>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</si>
  <si>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</si>
  <si>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</si>
  <si>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</si>
  <si>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</si>
  <si>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</si>
  <si>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</si>
  <si>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</si>
  <si>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</si>
  <si>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</si>
  <si>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</si>
  <si>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</si>
  <si>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</si>
  <si>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</si>
  <si>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</si>
  <si>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</si>
  <si>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</si>
  <si>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</si>
  <si>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</si>
  <si>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</si>
  <si>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</si>
  <si>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</si>
  <si>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</si>
  <si>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</si>
  <si>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</si>
  <si>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</si>
  <si>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</si>
  <si>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</si>
  <si>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</si>
  <si>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</si>
  <si>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</si>
  <si>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</si>
  <si>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</si>
  <si>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</si>
  <si>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</si>
  <si>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</si>
  <si>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</si>
  <si>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</si>
  <si>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</si>
  <si>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</si>
  <si>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</si>
  <si>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</si>
  <si>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</si>
  <si>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</si>
  <si>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</si>
  <si>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</si>
  <si>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</si>
  <si>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</si>
  <si>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</si>
  <si>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</si>
  <si>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</si>
  <si>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</si>
  <si>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</si>
  <si>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</si>
  <si>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</si>
  <si>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</si>
  <si>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</si>
  <si>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</si>
  <si>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</si>
  <si>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</si>
  <si>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</si>
  <si>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</si>
  <si>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</si>
  <si>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</si>
  <si>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</si>
  <si>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</si>
  <si>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</si>
  <si>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</si>
  <si>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</si>
  <si>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</si>
  <si>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</si>
  <si>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</si>
  <si>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</si>
  <si>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</si>
  <si>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</si>
  <si>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</si>
  <si>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</si>
  <si>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</si>
  <si>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</si>
  <si>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</si>
  <si>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</si>
  <si>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</si>
  <si>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</si>
  <si>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</si>
  <si>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</si>
  <si>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</si>
  <si>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</si>
  <si>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</si>
  <si>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</si>
  <si>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</si>
  <si>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</si>
  <si>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</si>
  <si>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</si>
  <si>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</si>
  <si>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</si>
  <si>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</si>
  <si>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</si>
  <si>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</si>
  <si>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</si>
  <si>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</si>
  <si>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</si>
  <si>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</si>
  <si>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</si>
  <si>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</si>
  <si>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</si>
  <si>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</si>
  <si>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</si>
  <si>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</si>
  <si>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</si>
  <si>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</si>
  <si>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</si>
  <si>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</si>
  <si>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</si>
  <si>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</si>
  <si>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</si>
  <si>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</si>
  <si>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</si>
  <si>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</si>
  <si>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</si>
  <si>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</si>
  <si>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</si>
  <si>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</si>
  <si>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</si>
  <si>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</si>
  <si>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</si>
  <si>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</si>
  <si>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</si>
  <si>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</si>
  <si>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</si>
  <si>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</si>
  <si>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</si>
  <si>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</si>
  <si>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</si>
  <si>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</si>
  <si>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</si>
  <si>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</si>
  <si>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</si>
  <si>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</si>
  <si>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</si>
  <si>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</si>
  <si>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</si>
  <si>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</si>
  <si>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</si>
  <si>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</si>
  <si>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</si>
  <si>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</si>
  <si>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</si>
  <si>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</si>
  <si>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</si>
  <si>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</si>
  <si>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</si>
  <si>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</si>
  <si>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</si>
  <si>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</si>
  <si>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</si>
  <si>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</si>
  <si>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</si>
  <si>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</si>
  <si>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</si>
  <si>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</si>
  <si>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</si>
  <si>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</si>
  <si>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</si>
  <si>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</si>
  <si>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</si>
  <si>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</si>
  <si>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</si>
  <si>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</si>
  <si>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</si>
  <si>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</si>
  <si>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</si>
  <si>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</si>
  <si>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</si>
  <si>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</si>
  <si>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</si>
  <si>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</si>
  <si>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</si>
  <si>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</si>
  <si>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</si>
  <si>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</si>
  <si>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</si>
  <si>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</si>
  <si>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</si>
  <si>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</si>
  <si>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</si>
  <si>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</si>
  <si>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</si>
  <si>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</si>
  <si>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</si>
  <si>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</si>
  <si>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</si>
  <si>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</si>
  <si>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</si>
  <si>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</si>
  <si>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</si>
  <si>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</si>
  <si>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</si>
  <si>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</si>
  <si>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</si>
  <si>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</si>
  <si>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</si>
  <si>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</si>
  <si>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</si>
  <si>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</si>
  <si>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</si>
  <si>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</si>
  <si>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</si>
  <si>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</si>
  <si>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</si>
  <si>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</si>
  <si>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</si>
  <si>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</si>
  <si>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</si>
  <si>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</si>
  <si>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</si>
  <si>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</si>
  <si>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</si>
  <si>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</si>
  <si>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</si>
  <si>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</si>
  <si>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</si>
  <si>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</si>
  <si>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</si>
  <si>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</si>
  <si>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</si>
  <si>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</si>
  <si>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</si>
  <si>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</si>
  <si>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</si>
  <si>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</si>
  <si>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</si>
  <si>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</si>
  <si>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</si>
  <si>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</si>
  <si>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</si>
  <si>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</si>
  <si>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</si>
  <si>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</si>
  <si>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</si>
  <si>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</si>
  <si>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</si>
  <si>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</si>
  <si>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</si>
  <si>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</si>
  <si>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</si>
  <si>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</si>
  <si>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</si>
  <si>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</si>
  <si>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</si>
  <si>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</si>
  <si>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</si>
  <si>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</si>
  <si>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</si>
  <si>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</si>
  <si>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</si>
  <si>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</si>
  <si>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</si>
  <si>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</si>
  <si>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</si>
  <si>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</si>
  <si>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</si>
  <si>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</si>
  <si>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</si>
  <si>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</si>
  <si>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</si>
  <si>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</si>
  <si>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</si>
  <si>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</si>
  <si>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</si>
  <si>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</si>
  <si>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</si>
  <si>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</si>
  <si>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</si>
  <si>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</si>
  <si>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</si>
  <si>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</si>
  <si>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</si>
  <si>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</si>
  <si>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</si>
  <si>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</si>
  <si>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</si>
  <si>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</si>
  <si>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</si>
  <si>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</si>
  <si>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</si>
  <si>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</si>
  <si>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</si>
  <si>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</si>
  <si>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</si>
  <si>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</si>
  <si>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</si>
  <si>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</si>
  <si>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</si>
  <si>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</si>
  <si>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</si>
  <si>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</si>
  <si>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</si>
  <si>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</si>
  <si>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</si>
  <si>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</si>
  <si>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</si>
  <si>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</si>
  <si>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</si>
  <si>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</si>
  <si>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</si>
  <si>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</si>
  <si>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</si>
  <si>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</si>
  <si>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</si>
  <si>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</si>
  <si>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</si>
  <si>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</si>
  <si>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</si>
  <si>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</si>
  <si>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</si>
  <si>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</si>
  <si>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</si>
  <si>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</si>
  <si>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</si>
  <si>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</si>
  <si>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</si>
  <si>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</si>
  <si>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</si>
  <si>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</si>
  <si>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</si>
  <si>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</si>
  <si>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</si>
  <si>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</si>
  <si>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</si>
  <si>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</si>
  <si>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</si>
  <si>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</si>
  <si>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</si>
  <si>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</si>
  <si>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</si>
  <si>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</si>
  <si>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</si>
  <si>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</si>
  <si>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</si>
  <si>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</si>
  <si>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</si>
  <si>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</si>
  <si>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</si>
  <si>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</si>
  <si>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</si>
  <si>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</si>
  <si>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</si>
  <si>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</si>
  <si>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</si>
  <si>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</si>
  <si>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</si>
  <si>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</si>
  <si>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</si>
  <si>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</si>
  <si>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</si>
  <si>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</si>
  <si>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</si>
  <si>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</si>
  <si>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</si>
  <si>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</si>
  <si>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</si>
  <si>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</si>
  <si>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</si>
  <si>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</si>
  <si>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</si>
  <si>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</si>
  <si>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</si>
  <si>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</si>
  <si>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</si>
  <si>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</si>
  <si>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</si>
  <si>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</si>
  <si>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</si>
  <si>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</si>
  <si>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</si>
  <si>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</si>
  <si>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</si>
  <si>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</si>
  <si>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</si>
  <si>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</si>
  <si>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</si>
  <si>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</si>
  <si>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</si>
  <si>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</si>
  <si>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</si>
  <si>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</si>
  <si>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</si>
  <si>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</si>
  <si>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</si>
  <si>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</si>
  <si>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</si>
  <si>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</si>
  <si>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</si>
  <si>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</si>
  <si>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</si>
  <si>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</si>
  <si>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</si>
  <si>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</si>
  <si>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</si>
  <si>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</si>
  <si>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</si>
  <si>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</si>
  <si>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</si>
  <si>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</si>
  <si>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</si>
  <si>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</si>
  <si>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</si>
  <si>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</si>
  <si>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</si>
  <si>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</si>
  <si>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</si>
  <si>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</si>
  <si>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</si>
  <si>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</si>
  <si>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</si>
  <si>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</si>
  <si>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</si>
  <si>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</si>
  <si>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</si>
  <si>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</si>
  <si>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</si>
  <si>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</si>
  <si>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</si>
  <si>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</si>
  <si>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</si>
  <si>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</si>
  <si>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</si>
  <si>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</si>
  <si>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</si>
  <si>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</si>
  <si>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</si>
  <si>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</si>
  <si>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</si>
  <si>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</si>
  <si>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</si>
  <si>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</si>
  <si>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</si>
  <si>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</si>
  <si>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</si>
  <si>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</si>
  <si>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</si>
  <si>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</si>
  <si>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</si>
  <si>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</si>
  <si>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</si>
  <si>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</si>
  <si>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</si>
  <si>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</si>
  <si>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</si>
  <si>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</si>
  <si>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</si>
  <si>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</si>
  <si>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</si>
  <si>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</si>
  <si>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</si>
  <si>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</si>
  <si>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</si>
  <si>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</si>
  <si>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</si>
  <si>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</si>
  <si>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</si>
  <si>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</si>
  <si>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</si>
  <si>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</si>
  <si>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</si>
  <si>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</si>
  <si>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</si>
  <si>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</si>
  <si>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</si>
  <si>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</si>
  <si>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</si>
  <si>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</si>
  <si>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</si>
  <si>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</si>
  <si>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</si>
  <si>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</si>
  <si>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</si>
  <si>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</si>
  <si>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</si>
  <si>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</si>
  <si>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</si>
  <si>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</si>
  <si>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</si>
  <si>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</si>
  <si>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</si>
  <si>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</si>
  <si>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</si>
  <si>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</si>
  <si>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</si>
  <si>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</si>
  <si>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</si>
  <si>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</si>
  <si>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</si>
  <si>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</si>
  <si>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</si>
  <si>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</si>
  <si>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</si>
  <si>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</si>
  <si>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</si>
  <si>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</si>
  <si>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</si>
  <si>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</si>
  <si>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</si>
  <si>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</si>
  <si>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</si>
  <si>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</si>
  <si>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</si>
  <si>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</si>
  <si>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</si>
  <si>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</si>
  <si>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</si>
  <si>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</si>
  <si>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</si>
  <si>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</si>
  <si>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</si>
  <si>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</si>
  <si>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</si>
  <si>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</si>
  <si>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</si>
  <si>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</si>
  <si>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</si>
  <si>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</si>
  <si>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</si>
  <si>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</si>
  <si>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</si>
  <si>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</si>
  <si>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</si>
  <si>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</si>
  <si>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</si>
  <si>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</si>
  <si>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</si>
  <si>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</si>
  <si>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</si>
  <si>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</si>
  <si>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</si>
  <si>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</si>
  <si>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</si>
  <si>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</si>
  <si>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</si>
  <si>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</si>
  <si>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</si>
  <si>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</si>
  <si>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</si>
  <si>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</si>
  <si>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</si>
  <si>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</si>
  <si>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</si>
  <si>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</si>
  <si>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</si>
  <si>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</si>
  <si>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</si>
  <si>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</si>
  <si>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</si>
  <si>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</si>
  <si>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</si>
  <si>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</si>
  <si>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</si>
  <si>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</si>
  <si>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</si>
  <si>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</si>
  <si>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</si>
  <si>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</si>
  <si>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</si>
  <si>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</si>
  <si>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</si>
  <si>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</si>
  <si>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</si>
  <si>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</si>
  <si>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</si>
  <si>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</si>
  <si>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</si>
  <si>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</si>
  <si>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</si>
  <si>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</si>
  <si>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</si>
  <si>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</si>
  <si>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</si>
  <si>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</si>
  <si>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</si>
  <si>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</si>
  <si>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</si>
  <si>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</si>
  <si>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</si>
  <si>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</si>
  <si>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</si>
  <si>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</si>
  <si>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</si>
  <si>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</si>
  <si>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</si>
  <si>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</si>
  <si>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</si>
  <si>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</si>
  <si>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</si>
  <si>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</si>
  <si>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</si>
  <si>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</si>
  <si>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</si>
  <si>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</si>
  <si>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</si>
  <si>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</si>
  <si>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</si>
  <si>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</si>
  <si>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</si>
  <si>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</si>
  <si>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</si>
  <si>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</si>
  <si>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</si>
  <si>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</si>
  <si>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</si>
  <si>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</si>
  <si>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</si>
  <si>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</si>
  <si>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</si>
  <si>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</si>
  <si>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</si>
  <si>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</si>
  <si>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</si>
  <si>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</si>
  <si>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</si>
  <si>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</si>
  <si>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</si>
  <si>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</si>
  <si>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</si>
  <si>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</si>
  <si>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</si>
  <si>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</si>
  <si>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</si>
  <si>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</si>
  <si>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</si>
  <si>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</si>
  <si>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</si>
  <si>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</si>
  <si>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</si>
  <si>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</si>
  <si>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</si>
  <si>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</si>
  <si>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</si>
  <si>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</si>
  <si>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</si>
  <si>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</si>
  <si>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</si>
  <si>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</si>
  <si>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</si>
  <si>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</si>
  <si>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</si>
  <si>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</si>
  <si>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</si>
  <si>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</si>
  <si>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</si>
  <si>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</si>
  <si>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</si>
  <si>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</si>
  <si>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</si>
  <si>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</si>
  <si>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</si>
  <si>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</si>
  <si>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</si>
  <si>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</si>
  <si>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</si>
  <si>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</si>
  <si>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</si>
  <si>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</si>
  <si>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</si>
  <si>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</si>
  <si>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</si>
  <si>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</si>
  <si>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</si>
  <si>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</si>
  <si>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</si>
  <si>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</si>
  <si>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</si>
  <si>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</si>
  <si>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</si>
  <si>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</si>
  <si>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</si>
  <si>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</si>
  <si>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</si>
  <si>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</si>
  <si>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</si>
  <si>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</si>
  <si>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</si>
  <si>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</si>
  <si>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</si>
  <si>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</si>
  <si>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</si>
  <si>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</si>
  <si>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</si>
  <si>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</si>
  <si>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</si>
  <si>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</si>
  <si>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</si>
  <si>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</si>
  <si>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</si>
  <si>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</si>
  <si>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</si>
  <si>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</si>
  <si>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</si>
  <si>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</si>
  <si>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</si>
  <si>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</si>
  <si>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</si>
  <si>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</si>
  <si>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</si>
  <si>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</si>
  <si>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</si>
  <si>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</si>
  <si>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</si>
  <si>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</si>
  <si>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</si>
  <si>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</si>
  <si>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</si>
  <si>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</si>
  <si>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</si>
  <si>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</si>
  <si>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</si>
  <si>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</si>
  <si>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</si>
  <si>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</si>
  <si>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</si>
  <si>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</si>
  <si>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</si>
  <si>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</si>
  <si>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</si>
  <si>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</si>
  <si>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</si>
  <si>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</si>
  <si>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</si>
  <si>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</si>
  <si>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</si>
  <si>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</si>
  <si>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</si>
  <si>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</si>
  <si>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</si>
  <si>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</si>
  <si>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</si>
  <si>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</si>
  <si>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</si>
  <si>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</si>
  <si>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</si>
  <si>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</si>
  <si>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</si>
  <si>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</si>
  <si>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</si>
  <si>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</si>
  <si>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</si>
  <si>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</si>
  <si>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</si>
  <si>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</si>
  <si>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</si>
  <si>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</si>
  <si>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</si>
  <si>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</si>
  <si>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</si>
  <si>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</si>
  <si>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</si>
  <si>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</si>
  <si>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</si>
  <si>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</si>
  <si>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</si>
  <si>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</si>
  <si>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</si>
  <si>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</si>
  <si>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</si>
  <si>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</si>
  <si>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</si>
  <si>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</si>
  <si>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</si>
  <si>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</si>
  <si>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</si>
  <si>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</si>
  <si>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</si>
  <si>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</si>
  <si>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</si>
  <si>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</si>
  <si>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</si>
  <si>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</si>
  <si>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</si>
  <si>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</si>
  <si>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</si>
  <si>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</si>
  <si>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</si>
  <si>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</si>
  <si>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</si>
  <si>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</si>
  <si>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</si>
  <si>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</si>
  <si>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</si>
  <si>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</si>
  <si>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</si>
  <si>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</si>
  <si>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</si>
  <si>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</si>
  <si>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</si>
  <si>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</si>
  <si>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</si>
  <si>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</si>
  <si>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</si>
  <si>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</si>
  <si>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</si>
  <si>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</si>
  <si>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</si>
  <si>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</si>
  <si>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</si>
  <si>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</si>
  <si>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</si>
  <si>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</si>
  <si>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</si>
  <si>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</si>
  <si>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</si>
  <si>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</si>
  <si>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</si>
  <si>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</si>
  <si>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</si>
  <si>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</si>
  <si>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</si>
  <si>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</si>
  <si>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</si>
  <si>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</si>
  <si>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</si>
  <si>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</si>
  <si>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</si>
  <si>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</si>
  <si>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</si>
  <si>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</si>
  <si>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</si>
  <si>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</si>
  <si>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</si>
  <si>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</si>
  <si>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</si>
  <si>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</si>
  <si>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</si>
  <si>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</si>
  <si>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</si>
  <si>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</si>
  <si>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</si>
  <si>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</si>
  <si>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</si>
  <si>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</si>
  <si>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</si>
  <si>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</si>
  <si>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</si>
  <si>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</si>
  <si>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</si>
  <si>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</si>
  <si>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</si>
  <si>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</si>
  <si>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</si>
  <si>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</si>
  <si>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</si>
  <si>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</si>
  <si>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</si>
  <si>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</si>
  <si>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</si>
  <si>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</si>
  <si>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</si>
  <si>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</si>
  <si>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</si>
  <si>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</si>
  <si>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</si>
  <si>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</si>
  <si>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</si>
  <si>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</si>
  <si>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</si>
  <si>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</si>
  <si>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</si>
  <si>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</si>
  <si>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</si>
  <si>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</si>
  <si>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</si>
  <si>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</si>
  <si>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</si>
  <si>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</si>
  <si>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</si>
  <si>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</si>
  <si>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</si>
  <si>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</si>
  <si>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</si>
  <si>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</si>
  <si>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</si>
  <si>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</si>
  <si>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</si>
  <si>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</si>
  <si>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</si>
  <si>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</si>
  <si>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</si>
  <si>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</si>
  <si>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</si>
  <si>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</si>
  <si>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</si>
  <si>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</si>
  <si>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</si>
  <si>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</si>
  <si>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</si>
  <si>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</si>
  <si>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</si>
  <si>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</si>
  <si>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</si>
  <si>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</si>
  <si>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</si>
  <si>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</si>
  <si>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</si>
  <si>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</si>
  <si>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</si>
  <si>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</si>
  <si>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</si>
  <si>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</si>
  <si>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</si>
  <si>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</si>
  <si>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</si>
  <si>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</si>
  <si>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</si>
  <si>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</si>
  <si>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</si>
  <si>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</si>
  <si>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</si>
  <si>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</si>
  <si>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</si>
  <si>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</si>
  <si>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</si>
  <si>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</si>
  <si>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</si>
  <si>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</si>
  <si>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</si>
  <si>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</si>
  <si>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</si>
  <si>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</si>
  <si>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</si>
  <si>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</si>
  <si>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</si>
  <si>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</si>
  <si>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</si>
  <si>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</si>
  <si>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</si>
  <si>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</si>
  <si>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</si>
  <si>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</si>
  <si>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</si>
  <si>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</si>
  <si>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</si>
  <si>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</si>
  <si>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</si>
  <si>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</si>
  <si>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</si>
  <si>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</si>
  <si>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</si>
  <si>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</si>
  <si>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</si>
  <si>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</si>
  <si>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</si>
  <si>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</si>
  <si>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</si>
  <si>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</si>
  <si>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</si>
  <si>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</si>
  <si>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</si>
  <si>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</si>
  <si>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</si>
  <si>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</si>
  <si>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</si>
  <si>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</si>
  <si>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</si>
  <si>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</si>
  <si>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</si>
  <si>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</si>
  <si>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</si>
  <si>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</si>
  <si>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</si>
  <si>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</si>
  <si>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</si>
  <si>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</si>
  <si>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</si>
  <si>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</si>
  <si>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</si>
  <si>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</si>
  <si>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</si>
  <si>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</si>
  <si>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</si>
  <si>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</si>
  <si>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</si>
  <si>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</si>
  <si>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</si>
  <si>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</si>
  <si>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</si>
  <si>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</si>
  <si>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</si>
  <si>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</si>
  <si>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</si>
  <si>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</si>
  <si>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</si>
  <si>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</si>
  <si>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</si>
  <si>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</si>
  <si>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</si>
  <si>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</si>
  <si>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</si>
  <si>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</si>
  <si>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</si>
  <si>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</si>
  <si>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</si>
  <si>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</si>
  <si>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</si>
  <si>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</si>
  <si>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</si>
  <si>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</si>
  <si>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</si>
  <si>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</si>
  <si>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</si>
  <si>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</si>
  <si>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</si>
  <si>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</si>
  <si>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</si>
  <si>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</si>
  <si>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</si>
  <si>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</si>
  <si>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</si>
  <si>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</si>
  <si>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</si>
  <si>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</si>
  <si>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</si>
  <si>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</si>
  <si>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</si>
  <si>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</si>
  <si>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</si>
  <si>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</si>
  <si>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</si>
  <si>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</si>
  <si>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</si>
  <si>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</si>
  <si>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</si>
  <si>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</si>
  <si>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</si>
  <si>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</si>
  <si>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</si>
  <si>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</si>
  <si>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</si>
  <si>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</si>
  <si>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</si>
  <si>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</si>
  <si>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</si>
  <si>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</si>
  <si>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</si>
  <si>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</si>
  <si>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</si>
  <si>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</si>
  <si>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</si>
  <si>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</si>
  <si>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</si>
  <si>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</si>
  <si>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</si>
  <si>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</si>
  <si>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</si>
  <si>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</si>
  <si>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</si>
  <si>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</si>
  <si>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</si>
  <si>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</si>
  <si>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</si>
  <si>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</si>
  <si>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</si>
  <si>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</si>
  <si>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</si>
  <si>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</si>
  <si>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</si>
  <si>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</si>
  <si>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</si>
  <si>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7/16</t>
  </si>
  <si>
    <t>7/21</t>
  </si>
  <si>
    <t>9/02</t>
  </si>
  <si>
    <t>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</si>
</sst>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928</v>
      </c>
      <c r="B2" s="21">
        <v>31</v>
      </c>
      <c r="C2" s="21">
        <v>31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192502.75</v>
      </c>
      <c r="G9" s="18">
        <v>66273.539999999994</v>
      </c>
      <c r="H9" s="18"/>
      <c r="I9" s="18"/>
      <c r="J9" s="67">
        <f>SUM(I440)</f>
        <v>1065913.22</v>
      </c>
      <c r="K9" s="24" t="s">
        <v>288</v>
      </c>
      <c r="L9" s="24" t="s">
        <v>288</v>
      </c>
      <c r="M9" s="8"/>
      <c r="N9" s="266"/>
    </row>
    <row r="10" spans="1:14" s="3" customFormat="1" ht="12.2" customHeight="1" x14ac:dyDescent="0.15">
      <c r="A10" s="1" t="s">
        <v>562</v>
      </c>
      <c r="B10" s="2" t="s">
        <v>289</v>
      </c>
      <c r="C10" s="6">
        <v>2</v>
      </c>
      <c r="D10" s="2" t="s">
        <v>428</v>
      </c>
      <c r="E10" s="6">
        <v>110</v>
      </c>
      <c r="F10" s="18">
        <v>141732.26999999999</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515871</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20421.45</v>
      </c>
      <c r="H13" s="18">
        <v>271772.90000000002</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45610</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v>57251</v>
      </c>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895716.02</v>
      </c>
      <c r="G19" s="41">
        <f>SUM(G9:G18)</f>
        <v>86694.989999999991</v>
      </c>
      <c r="H19" s="41">
        <f>SUM(H9:H18)</f>
        <v>329023.90000000002</v>
      </c>
      <c r="I19" s="41">
        <f>SUM(I9:I18)</f>
        <v>0</v>
      </c>
      <c r="J19" s="41">
        <f>SUM(J9:J18)</f>
        <v>1065913.22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210610.99</v>
      </c>
      <c r="H22" s="18">
        <f>223641.99+25638</f>
        <v>249279.99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56104.25</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568167.91</v>
      </c>
      <c r="G28" s="18">
        <v>4595.1899999999996</v>
      </c>
      <c r="H28" s="18">
        <v>32592.63</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15538.28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624272.16</v>
      </c>
      <c r="G32" s="41">
        <f>SUM(G22:G31)</f>
        <v>215206.18</v>
      </c>
      <c r="H32" s="41">
        <f>SUM(H22:H31)</f>
        <v>297410.90000000002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-128511.19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31613</v>
      </c>
      <c r="I48" s="18"/>
      <c r="J48" s="13">
        <f>SUM(I460)</f>
        <v>1065913.22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146443.85999999999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271443.86</v>
      </c>
      <c r="G51" s="41">
        <f>SUM(G35:G50)</f>
        <v>-128511.19</v>
      </c>
      <c r="H51" s="41">
        <f>SUM(H35:H50)</f>
        <v>31613</v>
      </c>
      <c r="I51" s="41">
        <f>SUM(I35:I50)</f>
        <v>0</v>
      </c>
      <c r="J51" s="41">
        <f>SUM(J35:J50)</f>
        <v>1065913.22</v>
      </c>
      <c r="K51" s="45" t="s">
        <v>288</v>
      </c>
      <c r="L51" s="45" t="s">
        <v>288</v>
      </c>
      <c r="N51" s="264"/>
    </row>
    <row r="52" spans="1:14" s="3" customFormat="1" ht="12.2" customHeight="1" thickTop="1" x14ac:dyDescent="0.15">
      <c r="A52" s="38" t="s">
        <v>455</v>
      </c>
      <c r="B52" s="39" t="s">
        <v>289</v>
      </c>
      <c r="C52" s="6">
        <v>37</v>
      </c>
      <c r="D52" s="39" t="s">
        <v>653</v>
      </c>
      <c r="E52" s="39"/>
      <c r="F52" s="41">
        <f>F51+F32</f>
        <v>895716.02</v>
      </c>
      <c r="G52" s="41">
        <f>G51+G32</f>
        <v>86694.989999999991</v>
      </c>
      <c r="H52" s="41">
        <f>H51+H32</f>
        <v>329023.90000000002</v>
      </c>
      <c r="I52" s="41">
        <f>I51+I32</f>
        <v>0</v>
      </c>
      <c r="J52" s="41">
        <f>J51+J32</f>
        <v>1065913.22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8888750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8888750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13846.06</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v>57053</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13846.06</v>
      </c>
      <c r="G79" s="45" t="s">
        <v>288</v>
      </c>
      <c r="H79" s="41">
        <f>SUM(H63:H78)</f>
        <v>57053</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1760.45</v>
      </c>
      <c r="G96" s="18">
        <v>264.68</v>
      </c>
      <c r="H96" s="18"/>
      <c r="I96" s="18"/>
      <c r="J96" s="18">
        <v>8630.7000000000007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72793.42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177797.56</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179558.01</v>
      </c>
      <c r="G111" s="41">
        <f>SUM(G96:G110)</f>
        <v>73058.099999999991</v>
      </c>
      <c r="H111" s="41">
        <f>SUM(H96:H110)</f>
        <v>0</v>
      </c>
      <c r="I111" s="41">
        <f>SUM(I96:I110)</f>
        <v>0</v>
      </c>
      <c r="J111" s="41">
        <f>SUM(J96:J110)</f>
        <v>8630.7000000000007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9082154.0700000003</v>
      </c>
      <c r="G112" s="41">
        <f>G60+G111</f>
        <v>73058.099999999991</v>
      </c>
      <c r="H112" s="41">
        <f>H60+H79+H94+H111</f>
        <v>57053</v>
      </c>
      <c r="I112" s="41">
        <f>I60+I111</f>
        <v>0</v>
      </c>
      <c r="J112" s="41">
        <f>J60+J111</f>
        <v>8630.7000000000007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3016332.31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1084599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4102887.4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194882.82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48057.68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3565.54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242940.5</v>
      </c>
      <c r="G136" s="41">
        <f>SUM(G123:G135)</f>
        <v>3565.54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4345827.9000000004</v>
      </c>
      <c r="G140" s="41">
        <f>G121+SUM(G136:G137)</f>
        <v>3565.54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47028.14</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47028.14</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121721.07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152314.66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117559.51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136438.99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59223.44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9670.31</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106326.48</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59223.44</v>
      </c>
      <c r="G163" s="41">
        <f>SUM(G150:G162)</f>
        <v>117559.51</v>
      </c>
      <c r="H163" s="41">
        <f>SUM(H150:H162)</f>
        <v>526471.51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59223.44</v>
      </c>
      <c r="G170" s="41">
        <f>G147+G163+SUM(G164:G169)</f>
        <v>117559.51</v>
      </c>
      <c r="H170" s="41">
        <f>H147+H163+SUM(H164:H169)</f>
        <v>573499.65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140000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140000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140000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13487205.41</v>
      </c>
      <c r="G194" s="47">
        <f>G112+G140+G170+G193</f>
        <v>194183.14999999997</v>
      </c>
      <c r="H194" s="47">
        <f>H112+H140+H170+H193</f>
        <v>630552.65</v>
      </c>
      <c r="I194" s="47">
        <f>I112+I140+I170+I193</f>
        <v>0</v>
      </c>
      <c r="J194" s="47">
        <f>J112+J140+J193</f>
        <v>148630.70000000001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1947504.79</v>
      </c>
      <c r="G198" s="18">
        <v>1018484.23</v>
      </c>
      <c r="H198" s="18">
        <v>21677.94</v>
      </c>
      <c r="I198" s="18">
        <v>175878.92</v>
      </c>
      <c r="J198" s="18">
        <v>14940.56</v>
      </c>
      <c r="K198" s="18">
        <v>425</v>
      </c>
      <c r="L198" s="19">
        <f>SUM(F198:K198)</f>
        <v>3178911.44</v>
      </c>
      <c r="M198" s="8"/>
      <c r="N198" s="266"/>
    </row>
    <row r="199" spans="1:14" s="3" customFormat="1" ht="12.2" customHeight="1" x14ac:dyDescent="0.15">
      <c r="A199" s="1" t="s">
        <v>439</v>
      </c>
      <c r="B199" s="2" t="s">
        <v>341</v>
      </c>
      <c r="C199" s="2" t="s">
        <v>291</v>
      </c>
      <c r="D199" s="2" t="s">
        <v>431</v>
      </c>
      <c r="E199" s="6">
        <v>1200</v>
      </c>
      <c r="F199" s="18">
        <v>1140839.8999999999</v>
      </c>
      <c r="G199" s="18">
        <v>667920.04</v>
      </c>
      <c r="H199" s="18">
        <v>364860.93</v>
      </c>
      <c r="I199" s="18">
        <v>4420.83</v>
      </c>
      <c r="J199" s="18">
        <v>1290.6099999999999</v>
      </c>
      <c r="K199" s="18"/>
      <c r="L199" s="19">
        <f>SUM(F199:K199)</f>
        <v>2179332.31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25500</v>
      </c>
      <c r="G201" s="18">
        <v>5443.91</v>
      </c>
      <c r="H201" s="18">
        <v>5720</v>
      </c>
      <c r="I201" s="18">
        <v>10328.59</v>
      </c>
      <c r="J201" s="18">
        <v>2015.47</v>
      </c>
      <c r="K201" s="18">
        <v>1986.58</v>
      </c>
      <c r="L201" s="19">
        <f>SUM(F201:K201)</f>
        <v>50994.55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457552.18</v>
      </c>
      <c r="G203" s="18">
        <v>220212.94</v>
      </c>
      <c r="H203" s="18">
        <v>29219.26</v>
      </c>
      <c r="I203" s="18">
        <v>7175.88</v>
      </c>
      <c r="J203" s="18">
        <v>615.66999999999996</v>
      </c>
      <c r="K203" s="18">
        <v>358</v>
      </c>
      <c r="L203" s="19">
        <f t="shared" ref="L203:L209" si="0">SUM(F203:K203)</f>
        <v>715133.93</v>
      </c>
      <c r="M203" s="8"/>
      <c r="N203" s="266"/>
    </row>
    <row r="204" spans="1:14" s="3" customFormat="1" ht="12.2" customHeight="1" x14ac:dyDescent="0.15">
      <c r="A204" s="1" t="s">
        <v>443</v>
      </c>
      <c r="B204" s="2" t="s">
        <v>341</v>
      </c>
      <c r="C204" s="2" t="s">
        <v>295</v>
      </c>
      <c r="D204" s="2" t="s">
        <v>431</v>
      </c>
      <c r="E204" s="6">
        <v>2200</v>
      </c>
      <c r="F204" s="18">
        <v>109142.75</v>
      </c>
      <c r="G204" s="18">
        <v>82476.100000000006</v>
      </c>
      <c r="H204" s="18">
        <v>20631.63</v>
      </c>
      <c r="I204" s="18">
        <v>40062.07</v>
      </c>
      <c r="J204" s="18">
        <v>37908.870000000003</v>
      </c>
      <c r="K204" s="18">
        <v>39.950000000000003</v>
      </c>
      <c r="L204" s="19">
        <f t="shared" si="0"/>
        <v>290261.37000000005</v>
      </c>
      <c r="M204" s="8"/>
      <c r="N204" s="266"/>
    </row>
    <row r="205" spans="1:14" s="3" customFormat="1" ht="12.2" customHeight="1" x14ac:dyDescent="0.15">
      <c r="A205" s="1" t="s">
        <v>444</v>
      </c>
      <c r="B205" s="2" t="s">
        <v>341</v>
      </c>
      <c r="C205" s="2" t="s">
        <v>296</v>
      </c>
      <c r="D205" s="2" t="s">
        <v>431</v>
      </c>
      <c r="E205" s="6">
        <v>2300</v>
      </c>
      <c r="F205" s="18">
        <v>201517.26</v>
      </c>
      <c r="G205" s="18">
        <v>64047.61</v>
      </c>
      <c r="H205" s="18">
        <v>98001.06</v>
      </c>
      <c r="I205" s="18">
        <v>55421.919999999998</v>
      </c>
      <c r="J205" s="18"/>
      <c r="K205" s="18">
        <v>6847.35</v>
      </c>
      <c r="L205" s="19">
        <f t="shared" si="0"/>
        <v>425835.19999999995</v>
      </c>
      <c r="M205" s="8"/>
      <c r="N205" s="266"/>
    </row>
    <row r="206" spans="1:14" s="3" customFormat="1" ht="12.2" customHeight="1" x14ac:dyDescent="0.15">
      <c r="A206" s="1" t="s">
        <v>445</v>
      </c>
      <c r="B206" s="2" t="s">
        <v>341</v>
      </c>
      <c r="C206" s="2" t="s">
        <v>297</v>
      </c>
      <c r="D206" s="2" t="s">
        <v>431</v>
      </c>
      <c r="E206" s="6">
        <v>2400</v>
      </c>
      <c r="F206" s="18">
        <v>382897.08</v>
      </c>
      <c r="G206" s="18">
        <v>170401.68</v>
      </c>
      <c r="H206" s="18">
        <v>13696.97</v>
      </c>
      <c r="I206" s="18">
        <v>3710.89</v>
      </c>
      <c r="J206" s="18"/>
      <c r="K206" s="18">
        <v>1719</v>
      </c>
      <c r="L206" s="19">
        <f t="shared" si="0"/>
        <v>572425.62</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170456.75</v>
      </c>
      <c r="G208" s="18">
        <v>82607.39</v>
      </c>
      <c r="H208" s="18">
        <v>209051.27</v>
      </c>
      <c r="I208" s="18">
        <v>80302.86</v>
      </c>
      <c r="J208" s="18">
        <v>9135.1</v>
      </c>
      <c r="K208" s="18"/>
      <c r="L208" s="19">
        <f t="shared" si="0"/>
        <v>551553.37</v>
      </c>
      <c r="M208" s="8"/>
      <c r="N208" s="266"/>
    </row>
    <row r="209" spans="1:14" s="3" customFormat="1" ht="12.2" customHeight="1" x14ac:dyDescent="0.15">
      <c r="A209" s="1" t="s">
        <v>448</v>
      </c>
      <c r="B209" s="2" t="s">
        <v>341</v>
      </c>
      <c r="C209" s="2" t="s">
        <v>300</v>
      </c>
      <c r="D209" s="2" t="s">
        <v>431</v>
      </c>
      <c r="E209" s="6">
        <v>2700</v>
      </c>
      <c r="F209" s="18"/>
      <c r="G209" s="18"/>
      <c r="H209" s="18">
        <v>502762.17</v>
      </c>
      <c r="I209" s="18"/>
      <c r="J209" s="18"/>
      <c r="K209" s="18"/>
      <c r="L209" s="19">
        <f t="shared" si="0"/>
        <v>502762.17</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4435410.71</v>
      </c>
      <c r="G212" s="41">
        <f t="shared" si="1"/>
        <v>2311593.9000000004</v>
      </c>
      <c r="H212" s="41">
        <f t="shared" si="1"/>
        <v>1265621.23</v>
      </c>
      <c r="I212" s="41">
        <f t="shared" si="1"/>
        <v>377301.96</v>
      </c>
      <c r="J212" s="41">
        <f t="shared" si="1"/>
        <v>65906.28</v>
      </c>
      <c r="K212" s="41">
        <f t="shared" si="1"/>
        <v>11375.880000000001</v>
      </c>
      <c r="L212" s="41">
        <f t="shared" si="1"/>
        <v>8467209.9600000009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3971764.56</v>
      </c>
      <c r="I234" s="18"/>
      <c r="J234" s="18"/>
      <c r="K234" s="18"/>
      <c r="L234" s="19">
        <f>SUM(F234:K234)</f>
        <v>3971764.56</v>
      </c>
      <c r="M234" s="8"/>
      <c r="N234" s="266"/>
    </row>
    <row r="235" spans="1:14" s="3" customFormat="1" ht="12.2" customHeight="1" x14ac:dyDescent="0.15">
      <c r="A235" s="1" t="s">
        <v>439</v>
      </c>
      <c r="B235" s="2" t="s">
        <v>350</v>
      </c>
      <c r="C235" s="2" t="s">
        <v>291</v>
      </c>
      <c r="D235" s="2" t="s">
        <v>431</v>
      </c>
      <c r="E235" s="6">
        <v>1200</v>
      </c>
      <c r="F235" s="18"/>
      <c r="G235" s="18"/>
      <c r="H235" s="18">
        <v>216217.95</v>
      </c>
      <c r="I235" s="18"/>
      <c r="J235" s="18"/>
      <c r="K235" s="18"/>
      <c r="L235" s="19">
        <f>SUM(F235:K235)</f>
        <v>216217.95</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189686.62</v>
      </c>
      <c r="I245" s="18"/>
      <c r="J245" s="18"/>
      <c r="K245" s="18"/>
      <c r="L245" s="19">
        <f t="shared" si="4"/>
        <v>189686.62</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4377669.13</v>
      </c>
      <c r="I248" s="41">
        <f t="shared" si="5"/>
        <v>0</v>
      </c>
      <c r="J248" s="41">
        <f t="shared" si="5"/>
        <v>0</v>
      </c>
      <c r="K248" s="41">
        <f t="shared" si="5"/>
        <v>0</v>
      </c>
      <c r="L248" s="41">
        <f t="shared" si="5"/>
        <v>4377669.13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4435410.71</v>
      </c>
      <c r="G258" s="41">
        <f t="shared" si="8"/>
        <v>2311593.9000000004</v>
      </c>
      <c r="H258" s="41">
        <f t="shared" si="8"/>
        <v>5643290.3599999994</v>
      </c>
      <c r="I258" s="41">
        <f t="shared" si="8"/>
        <v>377301.96</v>
      </c>
      <c r="J258" s="41">
        <f t="shared" si="8"/>
        <v>65906.28</v>
      </c>
      <c r="K258" s="41">
        <f t="shared" si="8"/>
        <v>11375.880000000001</v>
      </c>
      <c r="L258" s="41">
        <f t="shared" si="8"/>
        <v>12844879.09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570000</v>
      </c>
      <c r="L261" s="19">
        <f>SUM(F261:K261)</f>
        <v>570000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44513</v>
      </c>
      <c r="L262" s="19">
        <f>SUM(F262:K262)</f>
        <v>44513</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140000</v>
      </c>
      <c r="L267" s="19">
        <f t="shared" si="9"/>
        <v>140000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754513</v>
      </c>
      <c r="L271" s="41">
        <f t="shared" si="9"/>
        <v>754513</v>
      </c>
      <c r="M271" s="8"/>
      <c r="N271" s="266"/>
    </row>
    <row r="272" spans="1:14" s="34" customFormat="1" ht="12.2" customHeight="1" thickTop="1" x14ac:dyDescent="0.2">
      <c r="A272" s="43" t="s">
        <v>464</v>
      </c>
      <c r="B272" s="40">
        <v>10</v>
      </c>
      <c r="C272" s="40">
        <v>18</v>
      </c>
      <c r="D272" s="39" t="s">
        <v>431</v>
      </c>
      <c r="E272" s="40"/>
      <c r="F272" s="42">
        <f t="shared" ref="F272:L272" si="11">F258+F271</f>
        <v>4435410.71</v>
      </c>
      <c r="G272" s="42">
        <f t="shared" si="11"/>
        <v>2311593.9000000004</v>
      </c>
      <c r="H272" s="42">
        <f t="shared" si="11"/>
        <v>5643290.3599999994</v>
      </c>
      <c r="I272" s="42">
        <f t="shared" si="11"/>
        <v>377301.96</v>
      </c>
      <c r="J272" s="42">
        <f t="shared" si="11"/>
        <v>65906.28</v>
      </c>
      <c r="K272" s="42">
        <f t="shared" si="11"/>
        <v>765888.88</v>
      </c>
      <c r="L272" s="42">
        <f t="shared" si="11"/>
        <v>13599392.09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141573.70000000001</v>
      </c>
      <c r="G277" s="18">
        <v>27132.55</v>
      </c>
      <c r="H277" s="18"/>
      <c r="I277" s="18">
        <v>115823.21</v>
      </c>
      <c r="J277" s="18">
        <v>8840</v>
      </c>
      <c r="K277" s="18">
        <v>3736.5</v>
      </c>
      <c r="L277" s="19">
        <f>SUM(F277:K277)</f>
        <v>297105.96000000002</v>
      </c>
      <c r="M277" s="8"/>
      <c r="N277" s="266"/>
    </row>
    <row r="278" spans="1:14" s="3" customFormat="1" ht="12.2" customHeight="1" x14ac:dyDescent="0.15">
      <c r="A278" s="1" t="s">
        <v>439</v>
      </c>
      <c r="B278" s="2" t="s">
        <v>357</v>
      </c>
      <c r="C278" s="2" t="s">
        <v>291</v>
      </c>
      <c r="D278" s="2" t="s">
        <v>431</v>
      </c>
      <c r="E278" s="6">
        <v>1200</v>
      </c>
      <c r="F278" s="18"/>
      <c r="G278" s="18"/>
      <c r="H278" s="18">
        <v>18256.240000000002</v>
      </c>
      <c r="I278" s="18">
        <v>1812.7</v>
      </c>
      <c r="J278" s="18">
        <v>10798.62</v>
      </c>
      <c r="K278" s="18">
        <v>1500</v>
      </c>
      <c r="L278" s="19">
        <f>SUM(F278:K278)</f>
        <v>32367.560000000005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23158</v>
      </c>
      <c r="G280" s="18"/>
      <c r="H280" s="18"/>
      <c r="I280" s="18">
        <f>9670.31+25440</f>
        <v>35110.31</v>
      </c>
      <c r="J280" s="18"/>
      <c r="K280" s="18"/>
      <c r="L280" s="19">
        <f>SUM(F280:K280)</f>
        <v>58268.31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69069.929999999993</v>
      </c>
      <c r="G282" s="18">
        <v>34826.5</v>
      </c>
      <c r="H282" s="18">
        <v>175</v>
      </c>
      <c r="I282" s="18"/>
      <c r="J282" s="18"/>
      <c r="K282" s="18"/>
      <c r="L282" s="19">
        <f t="shared" ref="L282:L288" si="12">SUM(F282:K282)</f>
        <v>104071.43</v>
      </c>
      <c r="M282" s="8"/>
      <c r="N282" s="266"/>
    </row>
    <row r="283" spans="1:14" s="3" customFormat="1" ht="12.2" customHeight="1" x14ac:dyDescent="0.15">
      <c r="A283" s="1" t="s">
        <v>443</v>
      </c>
      <c r="B283" s="2" t="s">
        <v>357</v>
      </c>
      <c r="C283" s="2" t="s">
        <v>295</v>
      </c>
      <c r="D283" s="2" t="s">
        <v>431</v>
      </c>
      <c r="E283" s="6">
        <v>2200</v>
      </c>
      <c r="F283" s="18"/>
      <c r="G283" s="18"/>
      <c r="H283" s="18">
        <v>25752</v>
      </c>
      <c r="I283" s="18">
        <v>6359.26</v>
      </c>
      <c r="J283" s="18">
        <v>1169.47</v>
      </c>
      <c r="K283" s="18"/>
      <c r="L283" s="19">
        <f t="shared" si="12"/>
        <v>33280.730000000003</v>
      </c>
      <c r="M283" s="8"/>
      <c r="N283" s="266"/>
    </row>
    <row r="284" spans="1:14" s="3" customFormat="1" ht="12.2" customHeight="1" x14ac:dyDescent="0.15">
      <c r="A284" s="1" t="s">
        <v>444</v>
      </c>
      <c r="B284" s="2" t="s">
        <v>357</v>
      </c>
      <c r="C284" s="2" t="s">
        <v>296</v>
      </c>
      <c r="D284" s="2" t="s">
        <v>431</v>
      </c>
      <c r="E284" s="6">
        <v>2300</v>
      </c>
      <c r="F284" s="18">
        <v>69746.52</v>
      </c>
      <c r="G284" s="18">
        <v>4099.1400000000003</v>
      </c>
      <c r="H284" s="18"/>
      <c r="I284" s="18"/>
      <c r="J284" s="18"/>
      <c r="K284" s="18"/>
      <c r="L284" s="19">
        <f t="shared" si="12"/>
        <v>73845.66</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303548.15000000002</v>
      </c>
      <c r="G291" s="42">
        <f t="shared" si="13"/>
        <v>66058.19</v>
      </c>
      <c r="H291" s="42">
        <f t="shared" si="13"/>
        <v>44183.240000000005</v>
      </c>
      <c r="I291" s="42">
        <f t="shared" si="13"/>
        <v>159105.48000000001</v>
      </c>
      <c r="J291" s="42">
        <f t="shared" si="13"/>
        <v>20808.090000000004</v>
      </c>
      <c r="K291" s="42">
        <f t="shared" si="13"/>
        <v>5236.5</v>
      </c>
      <c r="L291" s="41">
        <f t="shared" si="13"/>
        <v>598939.65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303548.15000000002</v>
      </c>
      <c r="G339" s="41">
        <f t="shared" si="20"/>
        <v>66058.19</v>
      </c>
      <c r="H339" s="41">
        <f t="shared" si="20"/>
        <v>44183.240000000005</v>
      </c>
      <c r="I339" s="41">
        <f t="shared" si="20"/>
        <v>159105.48000000001</v>
      </c>
      <c r="J339" s="41">
        <f t="shared" si="20"/>
        <v>20808.090000000004</v>
      </c>
      <c r="K339" s="41">
        <f t="shared" si="20"/>
        <v>5236.5</v>
      </c>
      <c r="L339" s="41">
        <f t="shared" si="20"/>
        <v>598939.65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303548.15000000002</v>
      </c>
      <c r="G353" s="41">
        <f>G339</f>
        <v>66058.19</v>
      </c>
      <c r="H353" s="41">
        <f>H339</f>
        <v>44183.240000000005</v>
      </c>
      <c r="I353" s="41">
        <f>I339</f>
        <v>159105.48000000001</v>
      </c>
      <c r="J353" s="41">
        <f>J339</f>
        <v>20808.090000000004</v>
      </c>
      <c r="K353" s="47">
        <f>K339+K352</f>
        <v>5236.5</v>
      </c>
      <c r="L353" s="41">
        <f>L339+L352</f>
        <v>598939.65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84404.44</v>
      </c>
      <c r="G359" s="18">
        <v>11001.19</v>
      </c>
      <c r="H359" s="18">
        <v>-1471.08</v>
      </c>
      <c r="I359" s="18">
        <v>165401.88</v>
      </c>
      <c r="J359" s="18"/>
      <c r="K359" s="18">
        <v>1004.96</v>
      </c>
      <c r="L359" s="13">
        <f>SUM(F359:K359)</f>
        <v>260341.38999999998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84404.44</v>
      </c>
      <c r="G363" s="47">
        <f t="shared" si="22"/>
        <v>11001.19</v>
      </c>
      <c r="H363" s="47">
        <f t="shared" si="22"/>
        <v>-1471.08</v>
      </c>
      <c r="I363" s="47">
        <f t="shared" si="22"/>
        <v>165401.88</v>
      </c>
      <c r="J363" s="47">
        <f t="shared" si="22"/>
        <v>0</v>
      </c>
      <c r="K363" s="47">
        <f t="shared" si="22"/>
        <v>1004.96</v>
      </c>
      <c r="L363" s="47">
        <f t="shared" si="22"/>
        <v>260341.38999999998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153273.62</v>
      </c>
      <c r="G368" s="18"/>
      <c r="H368" s="18"/>
      <c r="I368" s="56">
        <f>SUM(F368:H368)</f>
        <v>153273.62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12128.26</v>
      </c>
      <c r="G369" s="63"/>
      <c r="H369" s="63"/>
      <c r="I369" s="56">
        <f>SUM(F369:H369)</f>
        <v>12128.26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165401.88</v>
      </c>
      <c r="G370" s="47">
        <f>SUM(G368:G369)</f>
        <v>0</v>
      </c>
      <c r="H370" s="47">
        <f>SUM(H368:H369)</f>
        <v>0</v>
      </c>
      <c r="I370" s="47">
        <f>SUM(I368:I369)</f>
        <v>165401.88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v>952.76</v>
      </c>
      <c r="I389" s="18"/>
      <c r="J389" s="24" t="s">
        <v>288</v>
      </c>
      <c r="K389" s="24" t="s">
        <v>288</v>
      </c>
      <c r="L389" s="56">
        <f t="shared" si="25"/>
        <v>952.76</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v>15000</v>
      </c>
      <c r="H392" s="18">
        <v>705.61</v>
      </c>
      <c r="I392" s="18"/>
      <c r="J392" s="24" t="s">
        <v>288</v>
      </c>
      <c r="K392" s="24" t="s">
        <v>288</v>
      </c>
      <c r="L392" s="56">
        <f t="shared" si="25"/>
        <v>15705.61</v>
      </c>
      <c r="M392" s="8"/>
      <c r="N392" s="266"/>
    </row>
    <row r="393" spans="1:14" s="3" customFormat="1" ht="12.2" customHeight="1" thickBot="1" x14ac:dyDescent="0.2">
      <c r="A393" s="79" t="s">
        <v>555</v>
      </c>
      <c r="B393" s="2" t="s">
        <v>381</v>
      </c>
      <c r="C393" s="6">
        <v>6</v>
      </c>
      <c r="D393" s="2" t="s">
        <v>432</v>
      </c>
      <c r="E393" s="6"/>
      <c r="F393" s="18"/>
      <c r="G393" s="18">
        <v>125000</v>
      </c>
      <c r="H393" s="18">
        <v>3866.1</v>
      </c>
      <c r="I393" s="18"/>
      <c r="J393" s="24" t="s">
        <v>288</v>
      </c>
      <c r="K393" s="24" t="s">
        <v>288</v>
      </c>
      <c r="L393" s="56">
        <f t="shared" si="25"/>
        <v>128866.1</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140000</v>
      </c>
      <c r="H394" s="139">
        <f>SUM(H388:H393)</f>
        <v>5524.4699999999993</v>
      </c>
      <c r="I394" s="65">
        <f>SUM(I388:I393)</f>
        <v>0</v>
      </c>
      <c r="J394" s="45" t="s">
        <v>288</v>
      </c>
      <c r="K394" s="45" t="s">
        <v>288</v>
      </c>
      <c r="L394" s="47">
        <f>SUM(L388:L393)</f>
        <v>145524.47</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666.27</v>
      </c>
      <c r="I397" s="18"/>
      <c r="J397" s="24" t="s">
        <v>288</v>
      </c>
      <c r="K397" s="24" t="s">
        <v>288</v>
      </c>
      <c r="L397" s="56">
        <f t="shared" si="26"/>
        <v>666.27</v>
      </c>
      <c r="M397" s="8"/>
      <c r="N397" s="266"/>
    </row>
    <row r="398" spans="1:14" s="3" customFormat="1" ht="12.2" customHeight="1" x14ac:dyDescent="0.15">
      <c r="A398" s="79" t="s">
        <v>515</v>
      </c>
      <c r="B398" s="2" t="s">
        <v>381</v>
      </c>
      <c r="C398" s="6">
        <v>10</v>
      </c>
      <c r="D398" s="2" t="s">
        <v>432</v>
      </c>
      <c r="E398" s="6"/>
      <c r="F398" s="18"/>
      <c r="G398" s="18"/>
      <c r="H398" s="18">
        <v>396.1</v>
      </c>
      <c r="I398" s="18"/>
      <c r="J398" s="24" t="s">
        <v>288</v>
      </c>
      <c r="K398" s="24" t="s">
        <v>288</v>
      </c>
      <c r="L398" s="56">
        <f t="shared" si="26"/>
        <v>396.1</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2043.86</v>
      </c>
      <c r="I401" s="18"/>
      <c r="J401" s="24" t="s">
        <v>288</v>
      </c>
      <c r="K401" s="24" t="s">
        <v>288</v>
      </c>
      <c r="L401" s="56">
        <f t="shared" si="26"/>
        <v>2043.86</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3106.2299999999996</v>
      </c>
      <c r="I402" s="47">
        <f>SUM(I396:I401)</f>
        <v>0</v>
      </c>
      <c r="J402" s="45" t="s">
        <v>288</v>
      </c>
      <c r="K402" s="45" t="s">
        <v>288</v>
      </c>
      <c r="L402" s="47">
        <f>SUM(L396:L401)</f>
        <v>3106.2299999999996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140000</v>
      </c>
      <c r="H409" s="47">
        <f>H394+H402+H408</f>
        <v>8630.6999999999989</v>
      </c>
      <c r="I409" s="47">
        <f>I394+I402+I408</f>
        <v>0</v>
      </c>
      <c r="J409" s="24" t="s">
        <v>288</v>
      </c>
      <c r="K409" s="24" t="s">
        <v>288</v>
      </c>
      <c r="L409" s="47">
        <f>L394+L402+L408</f>
        <v>148630.70000000001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v>55980</v>
      </c>
      <c r="I419" s="18"/>
      <c r="J419" s="18"/>
      <c r="K419" s="18"/>
      <c r="L419" s="56">
        <f t="shared" si="27"/>
        <v>55980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55980</v>
      </c>
      <c r="I420" s="139">
        <f t="shared" si="28"/>
        <v>0</v>
      </c>
      <c r="J420" s="139">
        <f t="shared" si="28"/>
        <v>0</v>
      </c>
      <c r="K420" s="139">
        <f t="shared" si="28"/>
        <v>0</v>
      </c>
      <c r="L420" s="47">
        <f t="shared" si="28"/>
        <v>55980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55980</v>
      </c>
      <c r="I435" s="47">
        <f t="shared" si="32"/>
        <v>0</v>
      </c>
      <c r="J435" s="47">
        <f t="shared" si="32"/>
        <v>0</v>
      </c>
      <c r="K435" s="47">
        <f t="shared" si="32"/>
        <v>0</v>
      </c>
      <c r="L435" s="47">
        <f t="shared" si="32"/>
        <v>55980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178706.54</v>
      </c>
      <c r="G440" s="18">
        <v>887206.68</v>
      </c>
      <c r="H440" s="18"/>
      <c r="I440" s="56">
        <f t="shared" ref="I440:I446" si="33">SUM(F440:H440)</f>
        <v>1065913.22</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178706.54</v>
      </c>
      <c r="G447" s="13">
        <f>SUM(G440:G446)</f>
        <v>887206.68</v>
      </c>
      <c r="H447" s="13">
        <f>SUM(H440:H446)</f>
        <v>0</v>
      </c>
      <c r="I447" s="13">
        <f>SUM(I440:I446)</f>
        <v>1065913.22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178706.54</v>
      </c>
      <c r="G460" s="18">
        <v>887206.68</v>
      </c>
      <c r="H460" s="18"/>
      <c r="I460" s="56">
        <f t="shared" si="34"/>
        <v>1065913.22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178706.54</v>
      </c>
      <c r="G461" s="83">
        <f>SUM(G455:G460)</f>
        <v>887206.68</v>
      </c>
      <c r="H461" s="83">
        <f>SUM(H455:H460)</f>
        <v>0</v>
      </c>
      <c r="I461" s="83">
        <f>SUM(I455:I460)</f>
        <v>1065913.22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178706.54</v>
      </c>
      <c r="G462" s="42">
        <f>G453+G461</f>
        <v>887206.68</v>
      </c>
      <c r="H462" s="42">
        <f>H453+H461</f>
        <v>0</v>
      </c>
      <c r="I462" s="42">
        <f>I453+I461</f>
        <v>1065913.22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383630.54</v>
      </c>
      <c r="G466" s="18">
        <v>-62352.95</v>
      </c>
      <c r="H466" s="18">
        <v>0</v>
      </c>
      <c r="I466" s="18">
        <v>0</v>
      </c>
      <c r="J466" s="18">
        <v>973262.52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13487205.41</v>
      </c>
      <c r="G469" s="18">
        <v>194183.15</v>
      </c>
      <c r="H469" s="18">
        <v>630552.65</v>
      </c>
      <c r="I469" s="18"/>
      <c r="J469" s="18">
        <v>148630.70000000001</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13487205.41</v>
      </c>
      <c r="G471" s="53">
        <f>SUM(G469:G470)</f>
        <v>194183.15</v>
      </c>
      <c r="H471" s="53">
        <f>SUM(H469:H470)</f>
        <v>630552.65</v>
      </c>
      <c r="I471" s="53">
        <f>SUM(I469:I470)</f>
        <v>0</v>
      </c>
      <c r="J471" s="53">
        <f>SUM(J469:J470)</f>
        <v>148630.70000000001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13599392.09</v>
      </c>
      <c r="G473" s="18">
        <v>260341.39</v>
      </c>
      <c r="H473" s="18">
        <v>598939.65</v>
      </c>
      <c r="I473" s="18"/>
      <c r="J473" s="18">
        <v>55980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13599392.09</v>
      </c>
      <c r="G475" s="53">
        <f>SUM(G473:G474)</f>
        <v>260341.39</v>
      </c>
      <c r="H475" s="53">
        <f>SUM(H473:H474)</f>
        <v>598939.65</v>
      </c>
      <c r="I475" s="53">
        <f>SUM(I473:I474)</f>
        <v>0</v>
      </c>
      <c r="J475" s="53">
        <f>SUM(J473:J474)</f>
        <v>55980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271443.8599999994</v>
      </c>
      <c r="G477" s="53">
        <f>(G466+G471)- G475</f>
        <v>-128511.19</v>
      </c>
      <c r="H477" s="53">
        <f>(H466+H471)- H475</f>
        <v>31613</v>
      </c>
      <c r="I477" s="53">
        <f>(I466+I471)- I475</f>
        <v>0</v>
      </c>
      <c r="J477" s="53">
        <f>(J466+J471)- J475</f>
        <v>1065913.22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5</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t="s">
        <v>1642</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1645</v>
      </c>
      <c r="G493" s="155" t="s">
        <v>1643</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9633125</v>
      </c>
      <c r="G494" s="18">
        <v>479500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4.1900000000000004</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1440000</v>
      </c>
      <c r="G496" s="18">
        <v>260000</v>
      </c>
      <c r="H496" s="18"/>
      <c r="I496" s="18"/>
      <c r="J496" s="18"/>
      <c r="K496" s="53">
        <f>SUM(F496:J496)</f>
        <v>1700000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480000</v>
      </c>
      <c r="G498" s="18">
        <v>90000</v>
      </c>
      <c r="H498" s="18"/>
      <c r="I498" s="18"/>
      <c r="J498" s="18"/>
      <c r="K498" s="53">
        <f t="shared" si="35"/>
        <v>570000</v>
      </c>
      <c r="L498" s="24" t="s">
        <v>288</v>
      </c>
      <c r="N498" s="265"/>
    </row>
    <row r="499" spans="1:14" s="52" customFormat="1" ht="12.2" customHeight="1" x14ac:dyDescent="0.2">
      <c r="A499" s="200" t="s">
        <v>622</v>
      </c>
      <c r="B499" s="201">
        <v>20</v>
      </c>
      <c r="C499" s="202">
        <v>9</v>
      </c>
      <c r="D499" s="203" t="s">
        <v>432</v>
      </c>
      <c r="E499" s="202"/>
      <c r="F499" s="204">
        <v>960000</v>
      </c>
      <c r="G499" s="204">
        <v>170000</v>
      </c>
      <c r="H499" s="204"/>
      <c r="I499" s="204"/>
      <c r="J499" s="204"/>
      <c r="K499" s="205">
        <f t="shared" si="35"/>
        <v>1130000</v>
      </c>
      <c r="L499" s="206" t="s">
        <v>288</v>
      </c>
      <c r="N499" s="265"/>
    </row>
    <row r="500" spans="1:14" s="52" customFormat="1" ht="12.2" customHeight="1" thickBot="1" x14ac:dyDescent="0.25">
      <c r="A500" s="22" t="s">
        <v>623</v>
      </c>
      <c r="B500" s="75">
        <v>20</v>
      </c>
      <c r="C500" s="115">
        <v>10</v>
      </c>
      <c r="D500" s="2" t="s">
        <v>432</v>
      </c>
      <c r="E500" s="115"/>
      <c r="F500" s="18">
        <v>34080</v>
      </c>
      <c r="G500" s="18">
        <v>8534</v>
      </c>
      <c r="H500" s="18"/>
      <c r="I500" s="18"/>
      <c r="J500" s="18"/>
      <c r="K500" s="53">
        <f t="shared" si="35"/>
        <v>42614</v>
      </c>
      <c r="L500" s="24" t="s">
        <v>288</v>
      </c>
      <c r="N500" s="265"/>
    </row>
    <row r="501" spans="1:14" s="52" customFormat="1" ht="12.2" customHeight="1" thickTop="1" x14ac:dyDescent="0.2">
      <c r="A501" s="139" t="s">
        <v>624</v>
      </c>
      <c r="B501" s="44">
        <v>20</v>
      </c>
      <c r="C501" s="195">
        <v>11</v>
      </c>
      <c r="D501" s="39" t="s">
        <v>432</v>
      </c>
      <c r="E501" s="195"/>
      <c r="F501" s="42">
        <f>SUM(F499:F500)</f>
        <v>994080</v>
      </c>
      <c r="G501" s="42">
        <f>SUM(G499:G500)</f>
        <v>178534</v>
      </c>
      <c r="H501" s="42">
        <f>SUM(H499:H500)</f>
        <v>0</v>
      </c>
      <c r="I501" s="42">
        <f>SUM(I499:I500)</f>
        <v>0</v>
      </c>
      <c r="J501" s="42">
        <f>SUM(J499:J500)</f>
        <v>0</v>
      </c>
      <c r="K501" s="42">
        <f t="shared" si="35"/>
        <v>1172614</v>
      </c>
      <c r="L501" s="45" t="s">
        <v>288</v>
      </c>
      <c r="N501" s="265"/>
    </row>
    <row r="502" spans="1:14" s="52" customFormat="1" ht="12.2" customHeight="1" x14ac:dyDescent="0.2">
      <c r="A502" s="200" t="s">
        <v>651</v>
      </c>
      <c r="B502" s="201">
        <v>20</v>
      </c>
      <c r="C502" s="202">
        <v>12</v>
      </c>
      <c r="D502" s="203" t="s">
        <v>432</v>
      </c>
      <c r="E502" s="202"/>
      <c r="F502" s="204">
        <v>480000</v>
      </c>
      <c r="G502" s="204">
        <v>85000</v>
      </c>
      <c r="H502" s="204"/>
      <c r="I502" s="204"/>
      <c r="J502" s="204"/>
      <c r="K502" s="205">
        <f t="shared" si="35"/>
        <v>565000</v>
      </c>
      <c r="L502" s="206" t="s">
        <v>288</v>
      </c>
      <c r="N502" s="265"/>
    </row>
    <row r="503" spans="1:14" s="52" customFormat="1" ht="12.2" customHeight="1" thickBot="1" x14ac:dyDescent="0.25">
      <c r="A503" s="22" t="s">
        <v>625</v>
      </c>
      <c r="B503" s="75">
        <v>20</v>
      </c>
      <c r="C503" s="115">
        <v>13</v>
      </c>
      <c r="D503" s="2" t="s">
        <v>432</v>
      </c>
      <c r="E503" s="115"/>
      <c r="F503" s="18">
        <v>22680</v>
      </c>
      <c r="G503" s="18">
        <v>6400.5</v>
      </c>
      <c r="H503" s="18"/>
      <c r="I503" s="18"/>
      <c r="J503" s="18"/>
      <c r="K503" s="53">
        <f t="shared" si="35"/>
        <v>29080.5</v>
      </c>
      <c r="L503" s="24" t="s">
        <v>288</v>
      </c>
      <c r="N503" s="265"/>
    </row>
    <row r="504" spans="1:14" s="52" customFormat="1" ht="12.2" customHeight="1" thickTop="1" x14ac:dyDescent="0.2">
      <c r="A504" s="139" t="s">
        <v>626</v>
      </c>
      <c r="B504" s="44">
        <v>20</v>
      </c>
      <c r="C504" s="195">
        <v>14</v>
      </c>
      <c r="D504" s="39" t="s">
        <v>432</v>
      </c>
      <c r="E504" s="195"/>
      <c r="F504" s="42">
        <f>SUM(F502:F503)</f>
        <v>502680</v>
      </c>
      <c r="G504" s="42">
        <f>SUM(G502:G503)</f>
        <v>91400.5</v>
      </c>
      <c r="H504" s="42">
        <f>SUM(H502:H503)</f>
        <v>0</v>
      </c>
      <c r="I504" s="42">
        <f>SUM(I502:I503)</f>
        <v>0</v>
      </c>
      <c r="J504" s="42">
        <f>SUM(J502:J503)</f>
        <v>0</v>
      </c>
      <c r="K504" s="42">
        <f t="shared" si="35"/>
        <v>594080.5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1136489.8999999999</v>
      </c>
      <c r="G522" s="18">
        <v>666863.75</v>
      </c>
      <c r="H522" s="18">
        <v>383117.17</v>
      </c>
      <c r="I522" s="18">
        <v>6143.77</v>
      </c>
      <c r="J522" s="18">
        <v>12089.23</v>
      </c>
      <c r="K522" s="18">
        <v>1500</v>
      </c>
      <c r="L522" s="88">
        <f>SUM(F522:K522)</f>
        <v>2206203.8199999998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216217.95</v>
      </c>
      <c r="I524" s="18"/>
      <c r="J524" s="18"/>
      <c r="K524" s="18"/>
      <c r="L524" s="88">
        <f>SUM(F524:K524)</f>
        <v>216217.95</v>
      </c>
      <c r="N524" s="265"/>
    </row>
    <row r="525" spans="1:14" s="52" customFormat="1" ht="12.2" customHeight="1" thickTop="1" x14ac:dyDescent="0.2">
      <c r="A525" s="139" t="s">
        <v>63</v>
      </c>
      <c r="B525" s="107">
        <v>21</v>
      </c>
      <c r="C525" s="195">
        <v>4</v>
      </c>
      <c r="D525" s="196" t="s">
        <v>432</v>
      </c>
      <c r="E525" s="195"/>
      <c r="F525" s="108">
        <f>SUM(F522:F524)</f>
        <v>1136489.8999999999</v>
      </c>
      <c r="G525" s="108">
        <f t="shared" ref="G525:L525" si="36">SUM(G522:G524)</f>
        <v>666863.75</v>
      </c>
      <c r="H525" s="108">
        <f t="shared" si="36"/>
        <v>599335.12</v>
      </c>
      <c r="I525" s="108">
        <f t="shared" si="36"/>
        <v>6143.77</v>
      </c>
      <c r="J525" s="108">
        <f t="shared" si="36"/>
        <v>12089.23</v>
      </c>
      <c r="K525" s="108">
        <f t="shared" si="36"/>
        <v>1500</v>
      </c>
      <c r="L525" s="89">
        <f t="shared" si="36"/>
        <v>2422421.77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349942.03</v>
      </c>
      <c r="G527" s="18">
        <v>159720.12</v>
      </c>
      <c r="H527" s="18">
        <v>23627.46</v>
      </c>
      <c r="I527" s="18">
        <v>4628.16</v>
      </c>
      <c r="J527" s="18"/>
      <c r="K527" s="18"/>
      <c r="L527" s="88">
        <f>SUM(F527:K527)</f>
        <v>537917.77</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349942.03</v>
      </c>
      <c r="G530" s="89">
        <f t="shared" ref="G530:L530" si="37">SUM(G527:G529)</f>
        <v>159720.12</v>
      </c>
      <c r="H530" s="89">
        <f t="shared" si="37"/>
        <v>23627.46</v>
      </c>
      <c r="I530" s="89">
        <f t="shared" si="37"/>
        <v>4628.16</v>
      </c>
      <c r="J530" s="89">
        <f t="shared" si="37"/>
        <v>0</v>
      </c>
      <c r="K530" s="89">
        <f t="shared" si="37"/>
        <v>0</v>
      </c>
      <c r="L530" s="89">
        <f t="shared" si="37"/>
        <v>537917.77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117619.91</v>
      </c>
      <c r="I542" s="18"/>
      <c r="J542" s="18"/>
      <c r="K542" s="18"/>
      <c r="L542" s="88">
        <f>SUM(F542:K542)</f>
        <v>117619.91</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25686.62</v>
      </c>
      <c r="I544" s="18"/>
      <c r="J544" s="18"/>
      <c r="K544" s="18"/>
      <c r="L544" s="88">
        <f>SUM(F544:K544)</f>
        <v>25686.62</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143306.53</v>
      </c>
      <c r="I545" s="193">
        <f t="shared" si="40"/>
        <v>0</v>
      </c>
      <c r="J545" s="193">
        <f t="shared" si="40"/>
        <v>0</v>
      </c>
      <c r="K545" s="193">
        <f t="shared" si="40"/>
        <v>0</v>
      </c>
      <c r="L545" s="193">
        <f t="shared" si="40"/>
        <v>143306.53</v>
      </c>
      <c r="M545" s="8"/>
      <c r="N545" s="266"/>
    </row>
    <row r="546" spans="1:14" s="3" customFormat="1" ht="12.2" customHeight="1" thickTop="1" x14ac:dyDescent="0.15">
      <c r="A546" s="98" t="s">
        <v>72</v>
      </c>
      <c r="B546" s="107">
        <v>21</v>
      </c>
      <c r="C546" s="107">
        <v>21</v>
      </c>
      <c r="D546" s="158" t="s">
        <v>432</v>
      </c>
      <c r="E546" s="107"/>
      <c r="F546" s="89">
        <f>F525+F530+F535+F540+F545</f>
        <v>1486431.93</v>
      </c>
      <c r="G546" s="89">
        <f t="shared" ref="G546:L546" si="41">G525+G530+G535+G540+G545</f>
        <v>826583.87</v>
      </c>
      <c r="H546" s="89">
        <f t="shared" si="41"/>
        <v>766269.11</v>
      </c>
      <c r="I546" s="89">
        <f t="shared" si="41"/>
        <v>10771.93</v>
      </c>
      <c r="J546" s="89">
        <f t="shared" si="41"/>
        <v>12089.23</v>
      </c>
      <c r="K546" s="89">
        <f t="shared" si="41"/>
        <v>1500</v>
      </c>
      <c r="L546" s="89">
        <f t="shared" si="41"/>
        <v>3103646.07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2206203.8199999998</v>
      </c>
      <c r="G550" s="87">
        <f>L527</f>
        <v>537917.77</v>
      </c>
      <c r="H550" s="87">
        <f>L532</f>
        <v>0</v>
      </c>
      <c r="I550" s="87">
        <f>L537</f>
        <v>0</v>
      </c>
      <c r="J550" s="87">
        <f>L542</f>
        <v>117619.91</v>
      </c>
      <c r="K550" s="87">
        <f>SUM(F550:J550)</f>
        <v>2861741.5</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216217.95</v>
      </c>
      <c r="G552" s="87">
        <f>L529</f>
        <v>0</v>
      </c>
      <c r="H552" s="87">
        <f>L534</f>
        <v>0</v>
      </c>
      <c r="I552" s="87">
        <f>L539</f>
        <v>0</v>
      </c>
      <c r="J552" s="87">
        <f>L544</f>
        <v>25686.62</v>
      </c>
      <c r="K552" s="87">
        <f>SUM(F552:J552)</f>
        <v>241904.57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2422421.77</v>
      </c>
      <c r="G553" s="89">
        <f t="shared" si="42"/>
        <v>537917.77</v>
      </c>
      <c r="H553" s="89">
        <f t="shared" si="42"/>
        <v>0</v>
      </c>
      <c r="I553" s="89">
        <f t="shared" si="42"/>
        <v>0</v>
      </c>
      <c r="J553" s="89">
        <f t="shared" si="42"/>
        <v>143306.53</v>
      </c>
      <c r="K553" s="89">
        <f t="shared" si="42"/>
        <v>3103646.07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4350</v>
      </c>
      <c r="G568" s="18">
        <v>1056.29</v>
      </c>
      <c r="H568" s="18"/>
      <c r="I568" s="18">
        <v>89.76</v>
      </c>
      <c r="J568" s="18"/>
      <c r="K568" s="18"/>
      <c r="L568" s="88">
        <f>SUM(F568:K568)</f>
        <v>5496.05</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4350</v>
      </c>
      <c r="G571" s="193">
        <f t="shared" ref="G571:L571" si="45">SUM(G568:G570)</f>
        <v>1056.29</v>
      </c>
      <c r="H571" s="193">
        <f t="shared" si="45"/>
        <v>0</v>
      </c>
      <c r="I571" s="193">
        <f t="shared" si="45"/>
        <v>89.76</v>
      </c>
      <c r="J571" s="193">
        <f t="shared" si="45"/>
        <v>0</v>
      </c>
      <c r="K571" s="193">
        <f t="shared" si="45"/>
        <v>0</v>
      </c>
      <c r="L571" s="193">
        <f t="shared" si="45"/>
        <v>5496.05</v>
      </c>
      <c r="M571" s="8"/>
      <c r="N571" s="266"/>
    </row>
    <row r="572" spans="1:14" s="3" customFormat="1" ht="12.2" customHeight="1" thickTop="1" x14ac:dyDescent="0.15">
      <c r="A572" s="98" t="s">
        <v>88</v>
      </c>
      <c r="B572" s="107">
        <v>22</v>
      </c>
      <c r="C572" s="107">
        <v>13</v>
      </c>
      <c r="D572" s="158" t="s">
        <v>432</v>
      </c>
      <c r="E572" s="107"/>
      <c r="F572" s="89">
        <f>F561+F566+F571</f>
        <v>4350</v>
      </c>
      <c r="G572" s="89">
        <f t="shared" ref="G572:L572" si="46">G561+G566+G571</f>
        <v>1056.29</v>
      </c>
      <c r="H572" s="89">
        <f t="shared" si="46"/>
        <v>0</v>
      </c>
      <c r="I572" s="89">
        <f t="shared" si="46"/>
        <v>89.76</v>
      </c>
      <c r="J572" s="89">
        <f t="shared" si="46"/>
        <v>0</v>
      </c>
      <c r="K572" s="89">
        <f t="shared" si="46"/>
        <v>0</v>
      </c>
      <c r="L572" s="89">
        <f t="shared" si="46"/>
        <v>5496.05</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3971765</v>
      </c>
      <c r="I578" s="87">
        <f t="shared" si="47"/>
        <v>3971765</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281095.24</v>
      </c>
      <c r="G583" s="18"/>
      <c r="H583" s="18">
        <v>81487.289999999994</v>
      </c>
      <c r="I583" s="87">
        <f t="shared" si="47"/>
        <v>362582.52999999997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355742.06</v>
      </c>
      <c r="I592" s="18"/>
      <c r="J592" s="18">
        <v>164000</v>
      </c>
      <c r="K592" s="104">
        <f t="shared" ref="K592:K598" si="48">SUM(H592:J592)</f>
        <v>519742.06</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117619.91</v>
      </c>
      <c r="I593" s="18"/>
      <c r="J593" s="18">
        <v>25686.62</v>
      </c>
      <c r="K593" s="104">
        <f t="shared" si="48"/>
        <v>143306.53</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8436</v>
      </c>
      <c r="I595" s="18"/>
      <c r="J595" s="18"/>
      <c r="K595" s="104">
        <f t="shared" si="48"/>
        <v>8436</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2344.6</v>
      </c>
      <c r="I596" s="18"/>
      <c r="J596" s="18"/>
      <c r="K596" s="104">
        <f t="shared" si="48"/>
        <v>2344.6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18619.599999999999</v>
      </c>
      <c r="I598" s="18"/>
      <c r="J598" s="18"/>
      <c r="K598" s="104">
        <f t="shared" si="48"/>
        <v>18619.599999999999</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502762.16999999993</v>
      </c>
      <c r="I599" s="108">
        <f>SUM(I592:I598)</f>
        <v>0</v>
      </c>
      <c r="J599" s="108">
        <f>SUM(J592:J598)</f>
        <v>189686.62</v>
      </c>
      <c r="K599" s="108">
        <f>SUM(K592:K598)</f>
        <v>692448.78999999992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86714.37</v>
      </c>
      <c r="I605" s="18"/>
      <c r="J605" s="18"/>
      <c r="K605" s="104">
        <f>SUM(H605:J605)</f>
        <v>86714.37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86714.37</v>
      </c>
      <c r="I606" s="108">
        <f>SUM(I603:I605)</f>
        <v>0</v>
      </c>
      <c r="J606" s="108">
        <f>SUM(J603:J605)</f>
        <v>0</v>
      </c>
      <c r="K606" s="108">
        <f>SUM(K603:K605)</f>
        <v>86714.37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23158</v>
      </c>
      <c r="G612" s="18"/>
      <c r="H612" s="18"/>
      <c r="I612" s="18"/>
      <c r="J612" s="18"/>
      <c r="K612" s="18"/>
      <c r="L612" s="88">
        <f>SUM(F612:K612)</f>
        <v>23158</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23158</v>
      </c>
      <c r="G615" s="108">
        <f t="shared" si="49"/>
        <v>0</v>
      </c>
      <c r="H615" s="108">
        <f t="shared" si="49"/>
        <v>0</v>
      </c>
      <c r="I615" s="108">
        <f t="shared" si="49"/>
        <v>0</v>
      </c>
      <c r="J615" s="108">
        <f t="shared" si="49"/>
        <v>0</v>
      </c>
      <c r="K615" s="108">
        <f t="shared" si="49"/>
        <v>0</v>
      </c>
      <c r="L615" s="89">
        <f t="shared" si="49"/>
        <v>23158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895716.02</v>
      </c>
      <c r="H618" s="109">
        <f>SUM(F52)</f>
        <v>895716.02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86694.989999999991</v>
      </c>
      <c r="H619" s="109">
        <f>SUM(G52)</f>
        <v>86694.989999999991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329023.90000000002</v>
      </c>
      <c r="H620" s="109">
        <f>SUM(H52)</f>
        <v>329023.90000000002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1065913.22</v>
      </c>
      <c r="H622" s="109">
        <f>SUM(J52)</f>
        <v>1065913.22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271443.86</v>
      </c>
      <c r="H623" s="109">
        <f>F477</f>
        <v>271443.8599999994</v>
      </c>
      <c r="I623" s="121" t="s">
        <v>101</v>
      </c>
      <c r="J623" s="109">
        <f t="shared" ref="J623:J656" si="50">G623-H623</f>
        <v>5.8207660913467407E-10</v>
      </c>
      <c r="K623" s="109"/>
      <c r="L623" s="109"/>
      <c r="M623" s="8"/>
    </row>
    <row r="624" spans="1:14" s="3" customFormat="1" ht="12.2" customHeight="1" x14ac:dyDescent="0.15">
      <c r="A624" s="97"/>
      <c r="B624" s="105"/>
      <c r="C624" s="119"/>
      <c r="D624" s="119"/>
      <c r="E624" s="119"/>
      <c r="F624" s="119" t="s">
        <v>866</v>
      </c>
      <c r="G624" s="109">
        <f>G51</f>
        <v>-128511.19</v>
      </c>
      <c r="H624" s="109">
        <f>G477</f>
        <v>-128511.19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31613</v>
      </c>
      <c r="H625" s="109">
        <f>H477</f>
        <v>31613</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1065913.22</v>
      </c>
      <c r="H627" s="109">
        <f>J477</f>
        <v>1065913.22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13487205.41</v>
      </c>
      <c r="H628" s="104">
        <f>SUM(F469)</f>
        <v>13487205.41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194183.14999999997</v>
      </c>
      <c r="H629" s="104">
        <f>SUM(G469)</f>
        <v>194183.15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630552.65</v>
      </c>
      <c r="H630" s="104">
        <f>SUM(H469)</f>
        <v>630552.65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148630.70000000001</v>
      </c>
      <c r="H632" s="104">
        <f>SUM(J469)</f>
        <v>148630.70000000001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13599392.09</v>
      </c>
      <c r="H633" s="104">
        <f>SUM(F473)</f>
        <v>13599392.09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598939.65</v>
      </c>
      <c r="H634" s="104">
        <f>SUM(H473)</f>
        <v>598939.65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165401.88</v>
      </c>
      <c r="H635" s="104">
        <f>I370</f>
        <v>165401.88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260341.38999999998</v>
      </c>
      <c r="H636" s="104">
        <f>SUM(G473)</f>
        <v>260341.39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148630.70000000001</v>
      </c>
      <c r="H638" s="164">
        <f>SUM(J469)</f>
        <v>148630.70000000001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55980</v>
      </c>
      <c r="H639" s="164">
        <f>SUM(J473)</f>
        <v>55980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178706.54</v>
      </c>
      <c r="H640" s="104">
        <f>SUM(F462)</f>
        <v>178706.54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887206.68</v>
      </c>
      <c r="H641" s="104">
        <f>SUM(G462)</f>
        <v>887206.68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1065913.22</v>
      </c>
      <c r="H643" s="104">
        <f>SUM(I462)</f>
        <v>1065913.22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8630.7000000000007</v>
      </c>
      <c r="H645" s="104">
        <f>H409</f>
        <v>8630.6999999999989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140000</v>
      </c>
      <c r="H646" s="104">
        <f>G409</f>
        <v>140000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148630.70000000001</v>
      </c>
      <c r="H647" s="104">
        <f>L409</f>
        <v>148630.70000000001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692448.78999999992</v>
      </c>
      <c r="H648" s="104">
        <f>L209+L227+L245</f>
        <v>692448.79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86714.37</v>
      </c>
      <c r="H649" s="104">
        <f>(J258+J339)-(J256+J337)</f>
        <v>86714.37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502762.17</v>
      </c>
      <c r="H650" s="104">
        <f>H599</f>
        <v>502762.16999999993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189686.62</v>
      </c>
      <c r="H652" s="104">
        <f>J599</f>
        <v>189686.62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140000</v>
      </c>
      <c r="H656" s="104">
        <f>K267+K348</f>
        <v>140000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9326491.0000000019</v>
      </c>
      <c r="G661" s="19">
        <f>(L230+L310+L360)</f>
        <v>0</v>
      </c>
      <c r="H661" s="19">
        <f>(L248+L329+L361)</f>
        <v>4377669.13</v>
      </c>
      <c r="I661" s="19">
        <f>SUM(F661:H661)</f>
        <v>13704160.130000003</v>
      </c>
      <c r="J661" s="13"/>
      <c r="K661" s="13"/>
      <c r="L661" s="13"/>
      <c r="M661" s="9"/>
    </row>
    <row r="662" spans="1:13" s="3" customFormat="1" ht="12.2" customHeight="1" x14ac:dyDescent="0.2">
      <c r="A662" s="1" t="s">
        <v>127</v>
      </c>
      <c r="F662" s="19">
        <f>(L359/IF(SUM(L359:L361)=0,1,SUM(L359:L361))*(SUM(G97:G110)))</f>
        <v>72793.42</v>
      </c>
      <c r="G662" s="19">
        <f>(L360/IF(SUM(L359:L361)=0,1,SUM(L359:L361))*(SUM(G97:G110)))</f>
        <v>0</v>
      </c>
      <c r="H662" s="19">
        <f>(L361/IF(SUM(L359:L361)=0,1,SUM(L359:L361))*(SUM(G97:G110)))</f>
        <v>0</v>
      </c>
      <c r="I662" s="19">
        <f>SUM(F662:H662)</f>
        <v>72793.42</v>
      </c>
      <c r="J662"/>
      <c r="K662" s="13"/>
      <c r="L662" s="13"/>
      <c r="M662" s="8"/>
    </row>
    <row r="663" spans="1:13" s="3" customFormat="1" ht="12.2" customHeight="1" x14ac:dyDescent="0.2">
      <c r="A663" s="1" t="s">
        <v>128</v>
      </c>
      <c r="F663" s="19">
        <f>(L209+L288)-(J209+J288)</f>
        <v>502762.17</v>
      </c>
      <c r="G663" s="19">
        <f>(L227+L307)-(J227+J307)</f>
        <v>0</v>
      </c>
      <c r="H663" s="19">
        <f>(L245+L326)-(J245+J326)</f>
        <v>189686.62</v>
      </c>
      <c r="I663" s="19">
        <f>SUM(F663:H663)</f>
        <v>692448.79</v>
      </c>
      <c r="J663"/>
      <c r="K663" s="13"/>
      <c r="L663" s="13"/>
      <c r="M663" s="9"/>
    </row>
    <row r="664" spans="1:13" s="3" customFormat="1" ht="12.2" customHeight="1" x14ac:dyDescent="0.15">
      <c r="A664" s="198" t="s">
        <v>129</v>
      </c>
      <c r="B664" s="169"/>
      <c r="C664" s="169"/>
      <c r="D664" s="169"/>
      <c r="E664" s="169"/>
      <c r="F664" s="199">
        <f>SUM(F576:F588)+SUM(H603:H605)+SUM(L612)</f>
        <v>390967.61</v>
      </c>
      <c r="G664" s="199">
        <f>SUM(G576:G588)+SUM(I603:I605)+L613</f>
        <v>0</v>
      </c>
      <c r="H664" s="199">
        <f>SUM(H576:H588)+SUM(J603:J605)+L614</f>
        <v>4053252.29</v>
      </c>
      <c r="I664" s="19">
        <f>SUM(F664:H664)</f>
        <v>4444219.9000000004</v>
      </c>
      <c r="J664" s="13"/>
      <c r="K664" s="13"/>
      <c r="L664" s="13"/>
      <c r="M664" s="9"/>
    </row>
    <row r="665" spans="1:13" s="3" customFormat="1" ht="12.2" customHeight="1" x14ac:dyDescent="0.15">
      <c r="A665" s="1" t="s">
        <v>130</v>
      </c>
      <c r="F665" s="19">
        <f>F661-SUM(F662:F664)</f>
        <v>8359967.8000000017</v>
      </c>
      <c r="G665" s="19">
        <f>G661-SUM(G662:G664)</f>
        <v>0</v>
      </c>
      <c r="H665" s="19">
        <f>H661-SUM(H662:H664)</f>
        <v>134730.21999999974</v>
      </c>
      <c r="I665" s="19">
        <f>I661-SUM(I662:I664)</f>
        <v>8494698.0200000033</v>
      </c>
      <c r="J665" s="13"/>
      <c r="K665" s="13"/>
      <c r="L665" s="13"/>
      <c r="M665" s="8"/>
    </row>
    <row r="666" spans="1:13" s="3" customFormat="1" ht="12.2" customHeight="1" x14ac:dyDescent="0.2">
      <c r="A666" s="1" t="s">
        <v>131</v>
      </c>
      <c r="F666" s="246">
        <v>466.99</v>
      </c>
      <c r="G666" s="247"/>
      <c r="H666" s="247"/>
      <c r="I666" s="19">
        <f>SUM(F666:H666)</f>
        <v>466.99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17901.810000000001</v>
      </c>
      <c r="G668" s="19" t="e">
        <f>ROUND(G665/G666,2)</f>
        <v>#DIV/0!</v>
      </c>
      <c r="H668" s="19" t="e">
        <f>ROUND(H665/H666,2)</f>
        <v>#DIV/0!</v>
      </c>
      <c r="I668" s="19">
        <f>ROUND(I665/I666,2)</f>
        <v>18190.32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-134730.22</v>
      </c>
      <c r="I670" s="19">
        <f>SUM(F670:H670)</f>
        <v>-134730.22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17901.810000000001</v>
      </c>
      <c r="G673" s="19" t="e">
        <f>ROUND((G665+G670)/(G666+G671),2)</f>
        <v>#DIV/0!</v>
      </c>
      <c r="H673" s="19" t="e">
        <f>ROUND((H665+H670)/(H666+H671),2)</f>
        <v>#DIV/0!</v>
      </c>
      <c r="I673" s="19">
        <f>ROUND((I665+I670)/(I666+I671),2)</f>
        <v>17901.810000000001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Barnstead</v>
      </c>
      <c r="C5" s="344"/>
      <c r="D5" s="344"/>
      <c r="E5" s="344"/>
      <c r="F5" s="344"/>
    </row>
    <row r="8" spans="1:9" ht="18" x14ac:dyDescent="0.25">
      <c r="A8" s="323" t="s">
        <v>1591</v>
      </c>
      <c r="F8" s="330" t="s">
        <v>1609</v>
      </c>
    </row>
    <row r="9" spans="1:9" ht="15" x14ac:dyDescent="0.2">
      <c r="A9" s="321" t="s">
        <v>1592</v>
      </c>
      <c r="B9" s="324">
        <f>'DOE25'!G97</f>
        <v>72793.42</v>
      </c>
      <c r="F9" s="321" t="s">
        <v>1605</v>
      </c>
    </row>
    <row r="10" spans="1:9" ht="15" x14ac:dyDescent="0.2">
      <c r="A10" s="321" t="s">
        <v>1593</v>
      </c>
      <c r="B10" s="324">
        <f>'DOE25'!G112-'DOE25'!G97</f>
        <v>264.67999999999302</v>
      </c>
      <c r="F10" s="321" t="s">
        <v>1606</v>
      </c>
    </row>
    <row r="11" spans="1:9" ht="15" x14ac:dyDescent="0.2">
      <c r="A11" s="321" t="s">
        <v>1594</v>
      </c>
      <c r="B11" s="324">
        <f>'DOE25'!G140</f>
        <v>3565.54</v>
      </c>
      <c r="F11" s="321" t="s">
        <v>1607</v>
      </c>
    </row>
    <row r="12" spans="1:9" ht="15" x14ac:dyDescent="0.2">
      <c r="A12" s="321" t="s">
        <v>1595</v>
      </c>
      <c r="B12" s="324">
        <f>'DOE25'!G170</f>
        <v>117559.51</v>
      </c>
      <c r="F12" s="321" t="s">
        <v>1608</v>
      </c>
    </row>
    <row r="13" spans="1:9" ht="15" x14ac:dyDescent="0.2">
      <c r="A13" s="321" t="s">
        <v>1596</v>
      </c>
      <c r="B13" s="324">
        <f>'DOE25'!G193-'DOE25'!G180</f>
        <v>0</v>
      </c>
      <c r="F13" s="321" t="s">
        <v>1618</v>
      </c>
    </row>
    <row r="14" spans="1:9" ht="18" x14ac:dyDescent="0.25">
      <c r="A14" s="323" t="s">
        <v>732</v>
      </c>
      <c r="B14" s="325">
        <f>SUM(B9:B13)</f>
        <v>194183.14999999997</v>
      </c>
    </row>
    <row r="16" spans="1:9" ht="18" x14ac:dyDescent="0.25">
      <c r="A16" s="323" t="s">
        <v>786</v>
      </c>
      <c r="F16" s="330" t="s">
        <v>1610</v>
      </c>
    </row>
    <row r="17" spans="1:6" ht="15" x14ac:dyDescent="0.2">
      <c r="A17" s="321" t="s">
        <v>1597</v>
      </c>
      <c r="B17" s="324">
        <f>'DOE25'!L363-'DOE25'!L362</f>
        <v>260341.38999999998</v>
      </c>
      <c r="F17" s="321" t="s">
        <v>1611</v>
      </c>
    </row>
    <row r="18" spans="1:6" ht="15" x14ac:dyDescent="0.2">
      <c r="A18" s="321" t="s">
        <v>1598</v>
      </c>
      <c r="B18" s="338"/>
      <c r="F18" s="330" t="s">
        <v>1637</v>
      </c>
    </row>
    <row r="19" spans="1:6" ht="18" x14ac:dyDescent="0.25">
      <c r="A19" s="323" t="s">
        <v>725</v>
      </c>
      <c r="B19" s="325">
        <f>SUM(B17:B18)</f>
        <v>260341.38999999998</v>
      </c>
    </row>
    <row r="21" spans="1:6" ht="18.75" thickBot="1" x14ac:dyDescent="0.3">
      <c r="A21" s="323" t="s">
        <v>1599</v>
      </c>
    </row>
    <row r="22" spans="1:6" ht="18.75" thickTop="1" x14ac:dyDescent="0.25">
      <c r="A22" s="323" t="s">
        <v>1600</v>
      </c>
      <c r="B22" s="329">
        <f>B14-B19</f>
        <v>-66158.24000000002</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-62352.95</v>
      </c>
      <c r="F31" s="321" t="s">
        <v>1615</v>
      </c>
    </row>
    <row r="33" spans="1:6" ht="15" x14ac:dyDescent="0.2">
      <c r="A33" s="321" t="s">
        <v>1641</v>
      </c>
      <c r="B33" s="324">
        <f>'DOE25'!G477</f>
        <v>-128511.19</v>
      </c>
      <c r="F33" s="321" t="s">
        <v>1616</v>
      </c>
    </row>
    <row r="36" spans="1:6" ht="15" x14ac:dyDescent="0.2">
      <c r="A36" s="321" t="s">
        <v>1602</v>
      </c>
      <c r="B36" s="339">
        <v>15200.81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rintOptions horizontalCentered="1"/>
  <pageMargins left="0" right="0" top="0.75" bottom="0" header="0.3" footer="0.3"/>
  <pageSetup scale="99" orientation="landscape" r:id="rId1"/>
  <headerFooter>
    <oddHeader>&amp;L&amp;A</oddHeader>
  </headerFooter>
  <colBreaks count="1" manualBreakCount="1">
    <brk id="7" max="39"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Barnstead</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2089078.49</v>
      </c>
      <c r="C9" s="229">
        <f>'DOE25'!G198+'DOE25'!G216+'DOE25'!G234+'DOE25'!G277+'DOE25'!G296+'DOE25'!G315</f>
        <v>1045616.78</v>
      </c>
    </row>
    <row r="10" spans="1:3" x14ac:dyDescent="0.2">
      <c r="A10" t="s">
        <v>775</v>
      </c>
      <c r="B10" s="240">
        <v>1977203.57</v>
      </c>
      <c r="C10" s="240">
        <v>1032174.35</v>
      </c>
    </row>
    <row r="11" spans="1:3" x14ac:dyDescent="0.2">
      <c r="A11" t="s">
        <v>776</v>
      </c>
      <c r="B11" s="240">
        <v>43721.46</v>
      </c>
      <c r="C11" s="240">
        <v>8228.69</v>
      </c>
    </row>
    <row r="12" spans="1:3" x14ac:dyDescent="0.2">
      <c r="A12" t="s">
        <v>777</v>
      </c>
      <c r="B12" s="240">
        <v>68153.460000000006</v>
      </c>
      <c r="C12" s="240">
        <v>5213.74</v>
      </c>
    </row>
    <row r="13" spans="1:3" x14ac:dyDescent="0.2">
      <c r="A13" t="str">
        <f>IF(B9=B13,IF(C9=C13,"Check Total OK","Check Total Error"),"Check Total Error")</f>
        <v>Check Total OK</v>
      </c>
      <c r="B13" s="231">
        <f>SUM(B10:B12)</f>
        <v>2089078.49</v>
      </c>
      <c r="C13" s="231">
        <f>SUM(C10:C12)</f>
        <v>1045616.7799999999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1140839.8999999999</v>
      </c>
      <c r="C18" s="229">
        <f>'DOE25'!G199+'DOE25'!G217+'DOE25'!G235+'DOE25'!G278+'DOE25'!G297+'DOE25'!G316</f>
        <v>667920.04</v>
      </c>
    </row>
    <row r="19" spans="1:3" x14ac:dyDescent="0.2">
      <c r="A19" t="s">
        <v>775</v>
      </c>
      <c r="B19" s="240">
        <v>449023.64</v>
      </c>
      <c r="C19" s="240">
        <v>283370.46000000002</v>
      </c>
    </row>
    <row r="20" spans="1:3" x14ac:dyDescent="0.2">
      <c r="A20" t="s">
        <v>776</v>
      </c>
      <c r="B20" s="240">
        <v>680513.61</v>
      </c>
      <c r="C20" s="240">
        <v>381713.61</v>
      </c>
    </row>
    <row r="21" spans="1:3" x14ac:dyDescent="0.2">
      <c r="A21" t="s">
        <v>777</v>
      </c>
      <c r="B21" s="240">
        <v>11302.65</v>
      </c>
      <c r="C21" s="240">
        <v>2835.97</v>
      </c>
    </row>
    <row r="22" spans="1:3" x14ac:dyDescent="0.2">
      <c r="A22" t="str">
        <f>IF(B18=B22,IF(C18=C22,"Check Total OK","Check Total Error"),"Check Total Error")</f>
        <v>Check Total OK</v>
      </c>
      <c r="B22" s="231">
        <f>SUM(B19:B21)</f>
        <v>1140839.8999999999</v>
      </c>
      <c r="C22" s="231">
        <f>SUM(C19:C21)</f>
        <v>667920.04</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48658</v>
      </c>
      <c r="C36" s="235">
        <f>'DOE25'!G201+'DOE25'!G219+'DOE25'!G237+'DOE25'!G280+'DOE25'!G299+'DOE25'!G318</f>
        <v>5443.91</v>
      </c>
    </row>
    <row r="37" spans="1:3" x14ac:dyDescent="0.2">
      <c r="A37" t="s">
        <v>775</v>
      </c>
      <c r="B37" s="240">
        <v>9250</v>
      </c>
      <c r="C37" s="240">
        <v>2187.0300000000002</v>
      </c>
    </row>
    <row r="38" spans="1:3" x14ac:dyDescent="0.2">
      <c r="A38" t="s">
        <v>776</v>
      </c>
      <c r="B38" s="240"/>
      <c r="C38" s="240"/>
    </row>
    <row r="39" spans="1:3" x14ac:dyDescent="0.2">
      <c r="A39" t="s">
        <v>777</v>
      </c>
      <c r="B39" s="240">
        <v>39408</v>
      </c>
      <c r="C39" s="240">
        <v>3256.88</v>
      </c>
    </row>
    <row r="40" spans="1:3" x14ac:dyDescent="0.2">
      <c r="A40" t="str">
        <f>IF(B36=B40,IF(C36=C40,"Check Total OK","Check Total Error"),"Check Total Error")</f>
        <v>Check Total OK</v>
      </c>
      <c r="B40" s="231">
        <f>SUM(B37:B39)</f>
        <v>48658</v>
      </c>
      <c r="C40" s="231">
        <f>SUM(C37:C39)</f>
        <v>5443.91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Barnstead</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9597220.8100000005</v>
      </c>
      <c r="D5" s="20">
        <f>SUM('DOE25'!L198:L201)+SUM('DOE25'!L216:L219)+SUM('DOE25'!L234:L237)-F5-G5-H5</f>
        <v>9576562.5899999999</v>
      </c>
      <c r="E5" s="243"/>
      <c r="F5" s="244"/>
      <c r="G5" s="53">
        <f>SUM('DOE25'!J198:J201)+SUM('DOE25'!J216:J219)+SUM('DOE25'!J234:J237)</f>
        <v>18246.64</v>
      </c>
      <c r="H5" s="53">
        <f>SUM('DOE25'!K198:K201)+SUM('DOE25'!K216:K219)+SUM('DOE25'!K234:K237)</f>
        <v>2411.58</v>
      </c>
      <c r="I5" s="256"/>
    </row>
    <row r="6" spans="1:9" x14ac:dyDescent="0.2">
      <c r="A6" s="32">
        <v>2100</v>
      </c>
      <c r="B6" t="s">
        <v>796</v>
      </c>
      <c r="C6" s="276">
        <f t="shared" si="0"/>
        <v>715133.93</v>
      </c>
      <c r="D6" s="20">
        <f>'DOE25'!L203+'DOE25'!L221+'DOE25'!L239-F6-G6-H6</f>
        <v>714160.26</v>
      </c>
      <c r="E6" s="243"/>
      <c r="F6" s="244"/>
      <c r="G6" s="53">
        <f>'DOE25'!J203+'DOE25'!J221+'DOE25'!J239</f>
        <v>615.66999999999996</v>
      </c>
      <c r="H6" s="53">
        <f>'DOE25'!K203+'DOE25'!K221+'DOE25'!K239</f>
        <v>358</v>
      </c>
      <c r="I6" s="256"/>
    </row>
    <row r="7" spans="1:9" x14ac:dyDescent="0.2">
      <c r="A7" s="32">
        <v>2200</v>
      </c>
      <c r="B7" t="s">
        <v>821</v>
      </c>
      <c r="C7" s="276">
        <f t="shared" si="0"/>
        <v>290261.37000000005</v>
      </c>
      <c r="D7" s="20">
        <f>'DOE25'!L204+'DOE25'!L222+'DOE25'!L240-F7-G7-H7</f>
        <v>252312.55000000005</v>
      </c>
      <c r="E7" s="243"/>
      <c r="F7" s="244"/>
      <c r="G7" s="53">
        <f>'DOE25'!J204+'DOE25'!J222+'DOE25'!J240</f>
        <v>37908.870000000003</v>
      </c>
      <c r="H7" s="53">
        <f>'DOE25'!K204+'DOE25'!K222+'DOE25'!K240</f>
        <v>39.950000000000003</v>
      </c>
      <c r="I7" s="256"/>
    </row>
    <row r="8" spans="1:9" x14ac:dyDescent="0.2">
      <c r="A8" s="32">
        <v>2300</v>
      </c>
      <c r="B8" t="s">
        <v>797</v>
      </c>
      <c r="C8" s="276">
        <f t="shared" si="0"/>
        <v>425835.19999999995</v>
      </c>
      <c r="D8" s="243"/>
      <c r="E8" s="20">
        <f>'DOE25'!L205+'DOE25'!L223+'DOE25'!L241-F8-G8-H8-D9-D11</f>
        <v>418987.85</v>
      </c>
      <c r="F8" s="244"/>
      <c r="G8" s="53">
        <f>'DOE25'!J205+'DOE25'!J223+'DOE25'!J241</f>
        <v>0</v>
      </c>
      <c r="H8" s="53">
        <f>'DOE25'!K205+'DOE25'!K223+'DOE25'!K241</f>
        <v>6847.35</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572425.62</v>
      </c>
      <c r="D12" s="20">
        <f>'DOE25'!L206+'DOE25'!L224+'DOE25'!L242-F12-G12-H12</f>
        <v>570706.62</v>
      </c>
      <c r="E12" s="243"/>
      <c r="F12" s="244"/>
      <c r="G12" s="53">
        <f>'DOE25'!J206+'DOE25'!J224+'DOE25'!J242</f>
        <v>0</v>
      </c>
      <c r="H12" s="53">
        <f>'DOE25'!K206+'DOE25'!K224+'DOE25'!K242</f>
        <v>1719</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551553.37</v>
      </c>
      <c r="D14" s="20">
        <f>'DOE25'!L208+'DOE25'!L226+'DOE25'!L244-F14-G14-H14</f>
        <v>542418.27</v>
      </c>
      <c r="E14" s="243"/>
      <c r="F14" s="244"/>
      <c r="G14" s="53">
        <f>'DOE25'!J208+'DOE25'!J226+'DOE25'!J244</f>
        <v>9135.1</v>
      </c>
      <c r="H14" s="53">
        <f>'DOE25'!K208+'DOE25'!K226+'DOE25'!K244</f>
        <v>0</v>
      </c>
      <c r="I14" s="256"/>
    </row>
    <row r="15" spans="1:9" x14ac:dyDescent="0.2">
      <c r="A15" s="32">
        <v>2700</v>
      </c>
      <c r="B15" t="s">
        <v>799</v>
      </c>
      <c r="C15" s="276">
        <f t="shared" si="0"/>
        <v>692448.79</v>
      </c>
      <c r="D15" s="20">
        <f>'DOE25'!L209+'DOE25'!L227+'DOE25'!L245-F15-G15-H15</f>
        <v>692448.79</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614513</v>
      </c>
      <c r="D25" s="243"/>
      <c r="E25" s="243"/>
      <c r="F25" s="255"/>
      <c r="G25" s="253"/>
      <c r="H25" s="253"/>
      <c r="I25" s="254">
        <f>'DOE25'!L261+'DOE25'!L262+'DOE25'!L342+'DOE25'!L343</f>
        <v>614513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107067.76999999999</v>
      </c>
      <c r="D29" s="284">
        <f>'DOE25'!L359+'DOE25'!L360+'DOE25'!L361-'DOE25'!I368-F29-G29-H29</f>
        <v>106062.80999999998</v>
      </c>
      <c r="E29" s="243"/>
      <c r="F29" s="244"/>
      <c r="G29" s="53">
        <f>'DOE25'!J359+'DOE25'!J360+'DOE25'!J361</f>
        <v>0</v>
      </c>
      <c r="H29" s="53">
        <f>'DOE25'!K359+'DOE25'!K360+'DOE25'!K361</f>
        <v>1004.96</v>
      </c>
      <c r="I29" s="256"/>
    </row>
    <row r="30" spans="1:9" x14ac:dyDescent="0.2">
      <c r="A30" s="32"/>
      <c r="C30" s="277"/>
      <c r="D30" s="20"/>
      <c r="E30" s="281"/>
      <c r="F30" s="271"/>
      <c r="G30" s="53"/>
      <c r="H30" s="53"/>
      <c r="I30" s="256"/>
    </row>
    <row r="31" spans="1:9" x14ac:dyDescent="0.2">
      <c r="A31" s="32" t="s">
        <v>818</v>
      </c>
      <c r="B31" t="s">
        <v>817</v>
      </c>
      <c r="C31" s="276">
        <f>SUM(D31:I31)</f>
        <v>598939.65</v>
      </c>
      <c r="D31" s="20">
        <f>'DOE25'!L291+'DOE25'!L310+'DOE25'!L329+'DOE25'!L334+'DOE25'!L335+'DOE25'!L336-F31-G31-H31</f>
        <v>572895.06000000006</v>
      </c>
      <c r="E31" s="243"/>
      <c r="F31" s="244"/>
      <c r="G31" s="53">
        <f>'DOE25'!J291+'DOE25'!J310+'DOE25'!J329+'DOE25'!J334+'DOE25'!J335+'DOE25'!J336</f>
        <v>20808.090000000004</v>
      </c>
      <c r="H31" s="53">
        <f>'DOE25'!K291+'DOE25'!K310+'DOE25'!K329+'DOE25'!K334+'DOE25'!K335+'DOE25'!K336</f>
        <v>5236.5</v>
      </c>
      <c r="I31" s="256"/>
    </row>
    <row r="32" spans="1:9" ht="12" thickBot="1" x14ac:dyDescent="0.25">
      <c r="C32" s="277"/>
      <c r="G32" s="251"/>
      <c r="H32" s="251"/>
      <c r="I32" s="258"/>
    </row>
    <row r="33" spans="1:9" ht="12" thickTop="1" x14ac:dyDescent="0.2">
      <c r="B33" t="s">
        <v>809</v>
      </c>
      <c r="D33" s="245">
        <f t="shared" ref="D33:I33" si="1">SUM(D5:D31)</f>
        <v>13027566.949999999</v>
      </c>
      <c r="E33" s="245">
        <f t="shared" si="1"/>
        <v>418987.85</v>
      </c>
      <c r="F33" s="245">
        <f t="shared" si="1"/>
        <v>0</v>
      </c>
      <c r="G33" s="245">
        <f t="shared" si="1"/>
        <v>86714.37</v>
      </c>
      <c r="H33" s="245">
        <f t="shared" si="1"/>
        <v>17617.34</v>
      </c>
      <c r="I33" s="245">
        <f t="shared" si="1"/>
        <v>614513</v>
      </c>
    </row>
    <row r="35" spans="1:9" ht="12" thickBot="1" x14ac:dyDescent="0.25">
      <c r="B35" s="251" t="s">
        <v>831</v>
      </c>
      <c r="D35" s="252">
        <f>E33</f>
        <v>418987.85</v>
      </c>
      <c r="E35" s="248"/>
    </row>
    <row r="36" spans="1:9" ht="12" thickTop="1" x14ac:dyDescent="0.2">
      <c r="B36" t="s">
        <v>810</v>
      </c>
      <c r="D36" s="20">
        <f>D33</f>
        <v>13027566.949999999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Barnstead</v>
      </c>
      <c r="B2" s="126">
        <f>'DOE25'!B2</f>
        <v>31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9066149.6100000013</v>
      </c>
      <c r="G4" s="303">
        <f>'DOE25'!L212+'DOE25'!L291</f>
        <v>9066149.6100000013</v>
      </c>
      <c r="H4" s="337">
        <f>F4-G4</f>
        <v>0</v>
      </c>
      <c r="I4" s="309" t="str">
        <f>IF(H4=0,"","Does not match DOE25 page 7 and 11 Totals!!")</f>
        <v/>
      </c>
      <c r="N4"/>
    </row>
    <row r="5" spans="1:18" x14ac:dyDescent="0.2">
      <c r="A5" s="21" t="s">
        <v>929</v>
      </c>
      <c r="B5" s="304">
        <f>IFERROR(VLOOKUP(A5,'School Tables'!$C$3:$D$365,2,FALSE),"")</f>
        <v>22485</v>
      </c>
      <c r="C5" s="297" t="str">
        <f>IFERROR(INDEX('School Tables'!$B$3:$B$365,MATCH('School Level Expenditures'!B5,'School Tables'!$D$3:$D$365,0)),"")</f>
        <v>Barnstead</v>
      </c>
      <c r="D5" s="294">
        <v>8467209.9600000009</v>
      </c>
      <c r="E5" s="294">
        <v>598939.65</v>
      </c>
      <c r="F5" s="312">
        <f>D5+E5</f>
        <v>9066149.6100000013</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4377669.13</v>
      </c>
      <c r="G36" s="303">
        <f>'DOE25'!L248+'DOE25'!L329</f>
        <v>4377669.13</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4377669.13</v>
      </c>
      <c r="E37" s="294"/>
      <c r="F37" s="307">
        <f>D37+E37</f>
        <v>4377669.13</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52"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Barnstead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192502.75</v>
      </c>
      <c r="D8" s="95">
        <f>'DOE25'!G9</f>
        <v>66273.539999999994</v>
      </c>
      <c r="E8" s="95">
        <f>'DOE25'!H9</f>
        <v>0</v>
      </c>
      <c r="F8" s="95">
        <f>'DOE25'!I9</f>
        <v>0</v>
      </c>
      <c r="G8" s="95">
        <f>'DOE25'!J9</f>
        <v>1065913.22</v>
      </c>
      <c r="H8" s="124"/>
      <c r="I8" s="124"/>
    </row>
    <row r="9" spans="1:9" x14ac:dyDescent="0.2">
      <c r="A9" s="1" t="s">
        <v>140</v>
      </c>
      <c r="B9" s="6">
        <v>110</v>
      </c>
      <c r="C9" s="95">
        <f>'DOE25'!F10</f>
        <v>141732.26999999999</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515871</v>
      </c>
      <c r="D11" s="95">
        <f>'DOE25'!G12</f>
        <v>0</v>
      </c>
      <c r="E11" s="95">
        <f>'DOE25'!H12</f>
        <v>0</v>
      </c>
      <c r="F11" s="95">
        <f>'DOE25'!I12</f>
        <v>0</v>
      </c>
      <c r="G11" s="95">
        <f>'DOE25'!J12</f>
        <v>0</v>
      </c>
      <c r="H11" s="124"/>
      <c r="I11" s="124"/>
    </row>
    <row r="12" spans="1:9" x14ac:dyDescent="0.2">
      <c r="A12" s="1" t="s">
        <v>143</v>
      </c>
      <c r="B12" s="6">
        <v>140</v>
      </c>
      <c r="C12" s="95">
        <f>'DOE25'!F13</f>
        <v>0</v>
      </c>
      <c r="D12" s="95">
        <f>'DOE25'!G13</f>
        <v>20421.45</v>
      </c>
      <c r="E12" s="95">
        <f>'DOE25'!H13</f>
        <v>271772.90000000002</v>
      </c>
      <c r="F12" s="95">
        <f>'DOE25'!I13</f>
        <v>0</v>
      </c>
      <c r="G12" s="95">
        <f>'DOE25'!J13</f>
        <v>0</v>
      </c>
      <c r="H12" s="124"/>
      <c r="I12" s="124"/>
    </row>
    <row r="13" spans="1:9" x14ac:dyDescent="0.2">
      <c r="A13" s="1" t="s">
        <v>144</v>
      </c>
      <c r="B13" s="6">
        <v>150</v>
      </c>
      <c r="C13" s="95">
        <f>'DOE25'!F14</f>
        <v>45610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57251</v>
      </c>
      <c r="F17" s="95">
        <f>'DOE25'!I18</f>
        <v>0</v>
      </c>
      <c r="G17" s="95">
        <f>'DOE25'!J18</f>
        <v>0</v>
      </c>
      <c r="H17" s="124"/>
      <c r="I17" s="124"/>
    </row>
    <row r="18" spans="1:9" ht="12" thickTop="1" x14ac:dyDescent="0.2">
      <c r="A18" s="38" t="s">
        <v>149</v>
      </c>
      <c r="B18" s="39"/>
      <c r="C18" s="41">
        <f>SUM(C8:C17)</f>
        <v>895716.02</v>
      </c>
      <c r="D18" s="41">
        <f>SUM(D8:D17)</f>
        <v>86694.989999999991</v>
      </c>
      <c r="E18" s="41">
        <f>SUM(E8:E17)</f>
        <v>329023.90000000002</v>
      </c>
      <c r="F18" s="41">
        <f>SUM(F8:F17)</f>
        <v>0</v>
      </c>
      <c r="G18" s="41">
        <f>SUM(G8:G17)</f>
        <v>1065913.22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210610.99</v>
      </c>
      <c r="E21" s="95">
        <f>'DOE25'!H22</f>
        <v>249279.99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56104.25</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568167.91</v>
      </c>
      <c r="D27" s="95">
        <f>'DOE25'!G28</f>
        <v>4595.1899999999996</v>
      </c>
      <c r="E27" s="95">
        <f>'DOE25'!H28</f>
        <v>32592.63</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15538.28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624272.16</v>
      </c>
      <c r="D31" s="41">
        <f>SUM(D21:D30)</f>
        <v>215206.18</v>
      </c>
      <c r="E31" s="41">
        <f>SUM(E21:E30)</f>
        <v>297410.90000000002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-128511.19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31613</v>
      </c>
      <c r="F47" s="95">
        <f>'DOE25'!I48</f>
        <v>0</v>
      </c>
      <c r="G47" s="95">
        <f>'DOE25'!J48</f>
        <v>1065913.22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146443.85999999999</v>
      </c>
      <c r="D49" s="24" t="s">
        <v>288</v>
      </c>
      <c r="E49" s="24" t="s">
        <v>288</v>
      </c>
      <c r="F49" s="24" t="s">
        <v>288</v>
      </c>
      <c r="G49" s="24" t="s">
        <v>288</v>
      </c>
      <c r="H49" s="124"/>
      <c r="I49" s="124"/>
    </row>
    <row r="50" spans="1:9" ht="12.75" thickTop="1" thickBot="1" x14ac:dyDescent="0.25">
      <c r="A50" s="38" t="s">
        <v>884</v>
      </c>
      <c r="B50" s="48"/>
      <c r="C50" s="41">
        <f>SUM(C34:C49)</f>
        <v>271443.86</v>
      </c>
      <c r="D50" s="41">
        <f>SUM(D34:D49)</f>
        <v>-128511.19</v>
      </c>
      <c r="E50" s="41">
        <f>SUM(E34:E49)</f>
        <v>31613</v>
      </c>
      <c r="F50" s="41">
        <f>SUM(F34:F49)</f>
        <v>0</v>
      </c>
      <c r="G50" s="41">
        <f>SUM(G34:G49)</f>
        <v>1065913.22</v>
      </c>
      <c r="H50" s="124"/>
      <c r="I50" s="124"/>
    </row>
    <row r="51" spans="1:9" ht="12" thickTop="1" x14ac:dyDescent="0.2">
      <c r="A51" s="38" t="s">
        <v>885</v>
      </c>
      <c r="B51" s="2"/>
      <c r="C51" s="41">
        <f>C50+C31</f>
        <v>895716.02</v>
      </c>
      <c r="D51" s="41">
        <f>D50+D31</f>
        <v>86694.989999999991</v>
      </c>
      <c r="E51" s="41">
        <f>E50+E31</f>
        <v>329023.90000000002</v>
      </c>
      <c r="F51" s="41">
        <f>F50+F31</f>
        <v>0</v>
      </c>
      <c r="G51" s="41">
        <f>G50+G31</f>
        <v>1065913.22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8888750</v>
      </c>
      <c r="D56" s="95">
        <f>'DOE25'!G60</f>
        <v>0</v>
      </c>
      <c r="E56" s="95">
        <f>'DOE25'!H60</f>
        <v>0</v>
      </c>
      <c r="F56" s="95">
        <f>'DOE25'!I60</f>
        <v>0</v>
      </c>
      <c r="G56" s="95">
        <f>'DOE25'!J60</f>
        <v>0</v>
      </c>
      <c r="H56"/>
      <c r="I56"/>
    </row>
    <row r="57" spans="1:9" x14ac:dyDescent="0.2">
      <c r="A57" s="1" t="s">
        <v>164</v>
      </c>
      <c r="B57" s="6" t="s">
        <v>165</v>
      </c>
      <c r="C57" s="95">
        <f>'DOE25'!F79</f>
        <v>13846.06</v>
      </c>
      <c r="D57" s="24" t="s">
        <v>288</v>
      </c>
      <c r="E57" s="95">
        <f>'DOE25'!H79</f>
        <v>57053</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1760.45</v>
      </c>
      <c r="D59" s="95">
        <f>'DOE25'!G96</f>
        <v>264.68</v>
      </c>
      <c r="E59" s="95">
        <f>'DOE25'!H96</f>
        <v>0</v>
      </c>
      <c r="F59" s="95">
        <f>'DOE25'!I96</f>
        <v>0</v>
      </c>
      <c r="G59" s="95">
        <f>'DOE25'!J96</f>
        <v>8630.7000000000007</v>
      </c>
      <c r="H59"/>
      <c r="I59"/>
    </row>
    <row r="60" spans="1:9" x14ac:dyDescent="0.2">
      <c r="A60" s="1" t="s">
        <v>170</v>
      </c>
      <c r="B60" s="118" t="s">
        <v>171</v>
      </c>
      <c r="C60" s="24" t="s">
        <v>288</v>
      </c>
      <c r="D60" s="95">
        <f>'DOE25'!G97</f>
        <v>72793.42</v>
      </c>
      <c r="E60" s="24" t="s">
        <v>288</v>
      </c>
      <c r="F60" s="24" t="s">
        <v>288</v>
      </c>
      <c r="G60" s="24" t="s">
        <v>288</v>
      </c>
      <c r="H60"/>
      <c r="I60"/>
    </row>
    <row r="61" spans="1:9" ht="12" thickBot="1" x14ac:dyDescent="0.25">
      <c r="A61" s="1" t="s">
        <v>172</v>
      </c>
      <c r="B61" s="118" t="s">
        <v>173</v>
      </c>
      <c r="C61" s="95">
        <f>SUM('DOE25'!F98:F110)</f>
        <v>177797.56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193404.07</v>
      </c>
      <c r="D62" s="130">
        <f>SUM(D57:D61)</f>
        <v>73058.099999999991</v>
      </c>
      <c r="E62" s="130">
        <f>SUM(E57:E61)</f>
        <v>57053</v>
      </c>
      <c r="F62" s="130">
        <f>SUM(F57:F61)</f>
        <v>0</v>
      </c>
      <c r="G62" s="130">
        <f>SUM(G57:G61)</f>
        <v>8630.7000000000007</v>
      </c>
      <c r="H62"/>
      <c r="I62"/>
    </row>
    <row r="63" spans="1:9" ht="12" thickTop="1" x14ac:dyDescent="0.2">
      <c r="A63" s="29" t="s">
        <v>175</v>
      </c>
      <c r="B63" s="6"/>
      <c r="C63" s="22">
        <f>C56+C62</f>
        <v>9082154.0700000003</v>
      </c>
      <c r="D63" s="22">
        <f>D56+D62</f>
        <v>73058.099999999991</v>
      </c>
      <c r="E63" s="22">
        <f>E56+E62</f>
        <v>57053</v>
      </c>
      <c r="F63" s="22">
        <f>F56+F62</f>
        <v>0</v>
      </c>
      <c r="G63" s="22">
        <f>G56+G62</f>
        <v>8630.7000000000007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3016332.31</v>
      </c>
      <c r="D66" s="24" t="s">
        <v>288</v>
      </c>
      <c r="E66" s="24" t="s">
        <v>288</v>
      </c>
      <c r="F66" s="24" t="s">
        <v>288</v>
      </c>
      <c r="G66" s="24" t="s">
        <v>288</v>
      </c>
      <c r="H66"/>
      <c r="I66"/>
    </row>
    <row r="67" spans="1:9" x14ac:dyDescent="0.2">
      <c r="A67" s="1" t="s">
        <v>770</v>
      </c>
      <c r="B67" s="6">
        <v>3112</v>
      </c>
      <c r="C67" s="95">
        <f>'DOE25'!F118</f>
        <v>1084599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4102887.4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194882.82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48057.68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3565.54</v>
      </c>
      <c r="E77" s="95">
        <f>SUM('DOE25'!H131:H135)</f>
        <v>0</v>
      </c>
      <c r="F77" s="95">
        <f>SUM('DOE25'!I131:I135)</f>
        <v>0</v>
      </c>
      <c r="G77" s="95">
        <f>SUM('DOE25'!J131:J135)</f>
        <v>0</v>
      </c>
      <c r="H77"/>
      <c r="I77"/>
    </row>
    <row r="78" spans="1:9" ht="12.75" thickTop="1" thickBot="1" x14ac:dyDescent="0.25">
      <c r="A78" s="29" t="s">
        <v>259</v>
      </c>
      <c r="B78" s="6"/>
      <c r="C78" s="130">
        <f>SUM(C72:C77)</f>
        <v>242940.5</v>
      </c>
      <c r="D78" s="130">
        <f>SUM(D72:D77)</f>
        <v>3565.54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4345827.9000000004</v>
      </c>
      <c r="D81" s="130">
        <f>SUM(D79:D80)+D78+D70</f>
        <v>3565.54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47028.14</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59223.44</v>
      </c>
      <c r="D88" s="341">
        <f>SUM('DOE25'!G153:G162)</f>
        <v>117559.51</v>
      </c>
      <c r="E88" s="341">
        <f>SUM('DOE25'!H153:H162)</f>
        <v>526471.51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59223.44</v>
      </c>
      <c r="D91" s="131">
        <f>SUM(D85:D90)</f>
        <v>117559.51</v>
      </c>
      <c r="E91" s="131">
        <f>SUM(E85:E90)</f>
        <v>573499.65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140000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140000</v>
      </c>
    </row>
    <row r="104" spans="1:7" ht="12.75" thickTop="1" thickBot="1" x14ac:dyDescent="0.25">
      <c r="A104" s="33" t="s">
        <v>761</v>
      </c>
      <c r="C104" s="86">
        <f>C63+C81+C91+C103</f>
        <v>13487205.41</v>
      </c>
      <c r="D104" s="86">
        <f>D63+D81+D91+D103</f>
        <v>194183.14999999997</v>
      </c>
      <c r="E104" s="86">
        <f>E63+E81+E91+E103</f>
        <v>630552.65</v>
      </c>
      <c r="F104" s="86">
        <f>F63+F81+F91+F103</f>
        <v>0</v>
      </c>
      <c r="G104" s="86">
        <f>G63+G81+G103</f>
        <v>148630.70000000001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7150676</v>
      </c>
      <c r="D109" s="24" t="s">
        <v>288</v>
      </c>
      <c r="E109" s="95">
        <f>('DOE25'!L277)+('DOE25'!L296)+('DOE25'!L315)</f>
        <v>297105.96000000002</v>
      </c>
      <c r="F109" s="24" t="s">
        <v>288</v>
      </c>
      <c r="G109" s="24" t="s">
        <v>288</v>
      </c>
    </row>
    <row r="110" spans="1:7" x14ac:dyDescent="0.2">
      <c r="A110" t="s">
        <v>198</v>
      </c>
      <c r="B110" s="32" t="s">
        <v>199</v>
      </c>
      <c r="C110" s="95">
        <f>('DOE25'!L199)+('DOE25'!L217)+('DOE25'!L235)</f>
        <v>2395550.2600000002</v>
      </c>
      <c r="D110" s="24" t="s">
        <v>288</v>
      </c>
      <c r="E110" s="95">
        <f>('DOE25'!L278)+('DOE25'!L297)+('DOE25'!L316)</f>
        <v>32367.560000000005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50994.55</v>
      </c>
      <c r="D112" s="24" t="s">
        <v>288</v>
      </c>
      <c r="E112" s="95">
        <f>+('DOE25'!L280)+('DOE25'!L299)+('DOE25'!L318)</f>
        <v>58268.31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9597220.8100000005</v>
      </c>
      <c r="D115" s="86">
        <f>SUM(D109:D114)</f>
        <v>0</v>
      </c>
      <c r="E115" s="86">
        <f>SUM(E109:E114)</f>
        <v>387741.83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715133.93</v>
      </c>
      <c r="D118" s="24" t="s">
        <v>288</v>
      </c>
      <c r="E118" s="95">
        <f>+('DOE25'!L282)+('DOE25'!L301)+('DOE25'!L320)</f>
        <v>104071.43</v>
      </c>
      <c r="F118" s="24" t="s">
        <v>288</v>
      </c>
      <c r="G118" s="24" t="s">
        <v>288</v>
      </c>
    </row>
    <row r="119" spans="1:7" x14ac:dyDescent="0.2">
      <c r="A119" t="s">
        <v>208</v>
      </c>
      <c r="B119" s="32" t="s">
        <v>209</v>
      </c>
      <c r="C119" s="95">
        <f>('DOE25'!L204)+('DOE25'!L222)+('DOE25'!L240)</f>
        <v>290261.37000000005</v>
      </c>
      <c r="D119" s="24" t="s">
        <v>288</v>
      </c>
      <c r="E119" s="95">
        <f>+('DOE25'!L283)+('DOE25'!L302)+('DOE25'!L321)</f>
        <v>33280.730000000003</v>
      </c>
      <c r="F119" s="24" t="s">
        <v>288</v>
      </c>
      <c r="G119" s="24" t="s">
        <v>288</v>
      </c>
    </row>
    <row r="120" spans="1:7" x14ac:dyDescent="0.2">
      <c r="A120" t="s">
        <v>210</v>
      </c>
      <c r="B120" s="32" t="s">
        <v>211</v>
      </c>
      <c r="C120" s="95">
        <f>('DOE25'!L205)+('DOE25'!L223)+('DOE25'!L241)</f>
        <v>425835.19999999995</v>
      </c>
      <c r="D120" s="24" t="s">
        <v>288</v>
      </c>
      <c r="E120" s="95">
        <f>+('DOE25'!L284)+('DOE25'!L303)+('DOE25'!L322)</f>
        <v>73845.66</v>
      </c>
      <c r="F120" s="24" t="s">
        <v>288</v>
      </c>
      <c r="G120" s="24" t="s">
        <v>288</v>
      </c>
    </row>
    <row r="121" spans="1:7" x14ac:dyDescent="0.2">
      <c r="A121" t="s">
        <v>212</v>
      </c>
      <c r="B121" s="32" t="s">
        <v>213</v>
      </c>
      <c r="C121" s="95">
        <f>('DOE25'!L206)+('DOE25'!L224)+('DOE25'!L242)</f>
        <v>572425.62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551553.37</v>
      </c>
      <c r="D123" s="24" t="s">
        <v>288</v>
      </c>
      <c r="E123" s="95">
        <f>+('DOE25'!L287)+('DOE25'!L306)+('DOE25'!L325)</f>
        <v>0</v>
      </c>
      <c r="F123" s="24" t="s">
        <v>288</v>
      </c>
      <c r="G123" s="24" t="s">
        <v>288</v>
      </c>
    </row>
    <row r="124" spans="1:7" x14ac:dyDescent="0.2">
      <c r="A124" t="s">
        <v>218</v>
      </c>
      <c r="B124" s="32" t="s">
        <v>219</v>
      </c>
      <c r="C124" s="95">
        <f>('DOE25'!L209)+('DOE25'!L227)+('DOE25'!L245+'DOE25'!L255)</f>
        <v>692448.79</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260341.38999999998</v>
      </c>
      <c r="E127" s="24" t="s">
        <v>288</v>
      </c>
      <c r="F127" s="24" t="s">
        <v>288</v>
      </c>
      <c r="G127" s="24" t="s">
        <v>288</v>
      </c>
    </row>
    <row r="128" spans="1:7" ht="12.75" thickTop="1" thickBot="1" x14ac:dyDescent="0.25">
      <c r="A128" s="33" t="s">
        <v>226</v>
      </c>
      <c r="C128" s="86">
        <f>SUM(C118:C127)</f>
        <v>3247658.2800000003</v>
      </c>
      <c r="D128" s="86">
        <f>SUM(D118:D127)</f>
        <v>260341.38999999998</v>
      </c>
      <c r="E128" s="86">
        <f>SUM(E118:E127)</f>
        <v>211197.82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570000</v>
      </c>
      <c r="D131" s="24" t="s">
        <v>288</v>
      </c>
      <c r="E131" s="129">
        <f>'DOE25'!L342</f>
        <v>0</v>
      </c>
      <c r="F131" s="24" t="s">
        <v>288</v>
      </c>
      <c r="G131" s="24" t="s">
        <v>288</v>
      </c>
    </row>
    <row r="132" spans="1:7" x14ac:dyDescent="0.2">
      <c r="A132" t="s">
        <v>230</v>
      </c>
      <c r="B132" s="32">
        <v>5120</v>
      </c>
      <c r="C132" s="95">
        <f>'DOE25'!L262</f>
        <v>44513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145524.47</v>
      </c>
      <c r="D138" s="24" t="s">
        <v>288</v>
      </c>
      <c r="E138" s="24" t="s">
        <v>288</v>
      </c>
      <c r="F138" s="24" t="s">
        <v>288</v>
      </c>
      <c r="G138" s="24" t="s">
        <v>288</v>
      </c>
    </row>
    <row r="139" spans="1:7" x14ac:dyDescent="0.2">
      <c r="A139" t="s">
        <v>239</v>
      </c>
      <c r="B139" s="32">
        <v>5252</v>
      </c>
      <c r="C139" s="95">
        <f>'DOE25'!L402</f>
        <v>3106.2299999999996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-8630.7000000000116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754513</v>
      </c>
      <c r="D144" s="141">
        <f>SUM(D130:D143)</f>
        <v>0</v>
      </c>
      <c r="E144" s="141">
        <f>SUM(E130:E143)</f>
        <v>0</v>
      </c>
      <c r="F144" s="141">
        <f>SUM(F130:F143)</f>
        <v>0</v>
      </c>
      <c r="G144" s="141">
        <f>SUM(G130:G143)</f>
        <v>0</v>
      </c>
    </row>
    <row r="145" spans="1:9" ht="12.75" thickTop="1" thickBot="1" x14ac:dyDescent="0.25">
      <c r="A145" s="33" t="s">
        <v>244</v>
      </c>
      <c r="C145" s="86">
        <f>(C115+C128+C144)</f>
        <v>13599392.09</v>
      </c>
      <c r="D145" s="86">
        <f>(D115+D128+D144)</f>
        <v>260341.38999999998</v>
      </c>
      <c r="E145" s="86">
        <f>(E115+E128+E144)</f>
        <v>598939.65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5</v>
      </c>
      <c r="D151" s="153">
        <f>'DOE25'!H491</f>
        <v>0</v>
      </c>
      <c r="E151" s="153">
        <f>'DOE25'!I491</f>
        <v>0</v>
      </c>
      <c r="F151" s="153">
        <f>'DOE25'!J491</f>
        <v>0</v>
      </c>
      <c r="G151" s="24" t="s">
        <v>288</v>
      </c>
    </row>
    <row r="152" spans="1:9" x14ac:dyDescent="0.2">
      <c r="A152" s="136" t="s">
        <v>28</v>
      </c>
      <c r="B152" s="152" t="str">
        <f>'DOE25'!F492</f>
        <v>9/02</v>
      </c>
      <c r="C152" s="152" t="str">
        <f>'DOE25'!G492</f>
        <v>7/16</v>
      </c>
      <c r="D152" s="152">
        <f>'DOE25'!H492</f>
        <v>0</v>
      </c>
      <c r="E152" s="152">
        <f>'DOE25'!I492</f>
        <v>0</v>
      </c>
      <c r="F152" s="152">
        <f>'DOE25'!J492</f>
        <v>0</v>
      </c>
      <c r="G152" s="24" t="s">
        <v>288</v>
      </c>
    </row>
    <row r="153" spans="1:9" x14ac:dyDescent="0.2">
      <c r="A153" s="136" t="s">
        <v>29</v>
      </c>
      <c r="B153" s="152" t="str">
        <f>'DOE25'!F493</f>
        <v>8/22</v>
      </c>
      <c r="C153" s="152" t="str">
        <f>'DOE25'!G493</f>
        <v>7/21</v>
      </c>
      <c r="D153" s="152">
        <f>'DOE25'!H493</f>
        <v>0</v>
      </c>
      <c r="E153" s="152">
        <f>'DOE25'!I493</f>
        <v>0</v>
      </c>
      <c r="F153" s="152">
        <f>'DOE25'!J493</f>
        <v>0</v>
      </c>
      <c r="G153" s="24" t="s">
        <v>288</v>
      </c>
    </row>
    <row r="154" spans="1:9" x14ac:dyDescent="0.2">
      <c r="A154" s="136" t="s">
        <v>30</v>
      </c>
      <c r="B154" s="137">
        <f>'DOE25'!F494</f>
        <v>9633125</v>
      </c>
      <c r="C154" s="137">
        <f>'DOE25'!G494</f>
        <v>479500</v>
      </c>
      <c r="D154" s="137">
        <f>'DOE25'!H494</f>
        <v>0</v>
      </c>
      <c r="E154" s="137">
        <f>'DOE25'!I494</f>
        <v>0</v>
      </c>
      <c r="F154" s="137">
        <f>'DOE25'!J494</f>
        <v>0</v>
      </c>
      <c r="G154" s="24" t="s">
        <v>288</v>
      </c>
    </row>
    <row r="155" spans="1:9" x14ac:dyDescent="0.2">
      <c r="A155" s="136" t="s">
        <v>31</v>
      </c>
      <c r="B155" s="137">
        <f>'DOE25'!F495</f>
        <v>4.1900000000000004</v>
      </c>
      <c r="C155" s="137">
        <f>'DOE25'!G495</f>
        <v>0</v>
      </c>
      <c r="D155" s="137">
        <f>'DOE25'!H495</f>
        <v>0</v>
      </c>
      <c r="E155" s="137">
        <f>'DOE25'!I495</f>
        <v>0</v>
      </c>
      <c r="F155" s="137">
        <f>'DOE25'!J495</f>
        <v>0</v>
      </c>
      <c r="G155" s="24" t="s">
        <v>288</v>
      </c>
    </row>
    <row r="156" spans="1:9" x14ac:dyDescent="0.2">
      <c r="A156" s="22" t="s">
        <v>32</v>
      </c>
      <c r="B156" s="137">
        <f>'DOE25'!F496</f>
        <v>1440000</v>
      </c>
      <c r="C156" s="137">
        <f>'DOE25'!G496</f>
        <v>260000</v>
      </c>
      <c r="D156" s="137">
        <f>'DOE25'!H496</f>
        <v>0</v>
      </c>
      <c r="E156" s="137">
        <f>'DOE25'!I496</f>
        <v>0</v>
      </c>
      <c r="F156" s="137">
        <f>'DOE25'!J496</f>
        <v>0</v>
      </c>
      <c r="G156" s="138">
        <f>SUM(B156:F156)</f>
        <v>1700000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480000</v>
      </c>
      <c r="C158" s="137">
        <f>'DOE25'!G498</f>
        <v>90000</v>
      </c>
      <c r="D158" s="137">
        <f>'DOE25'!H498</f>
        <v>0</v>
      </c>
      <c r="E158" s="137">
        <f>'DOE25'!I498</f>
        <v>0</v>
      </c>
      <c r="F158" s="137">
        <f>'DOE25'!J498</f>
        <v>0</v>
      </c>
      <c r="G158" s="138">
        <f t="shared" si="0"/>
        <v>570000</v>
      </c>
    </row>
    <row r="159" spans="1:9" x14ac:dyDescent="0.2">
      <c r="A159" s="22" t="s">
        <v>35</v>
      </c>
      <c r="B159" s="137">
        <f>'DOE25'!F499</f>
        <v>960000</v>
      </c>
      <c r="C159" s="137">
        <f>'DOE25'!G499</f>
        <v>170000</v>
      </c>
      <c r="D159" s="137">
        <f>'DOE25'!H499</f>
        <v>0</v>
      </c>
      <c r="E159" s="137">
        <f>'DOE25'!I499</f>
        <v>0</v>
      </c>
      <c r="F159" s="137">
        <f>'DOE25'!J499</f>
        <v>0</v>
      </c>
      <c r="G159" s="138">
        <f t="shared" si="0"/>
        <v>1130000</v>
      </c>
    </row>
    <row r="160" spans="1:9" x14ac:dyDescent="0.2">
      <c r="A160" s="22" t="s">
        <v>36</v>
      </c>
      <c r="B160" s="137">
        <f>'DOE25'!F500</f>
        <v>34080</v>
      </c>
      <c r="C160" s="137">
        <f>'DOE25'!G500</f>
        <v>8534</v>
      </c>
      <c r="D160" s="137">
        <f>'DOE25'!H500</f>
        <v>0</v>
      </c>
      <c r="E160" s="137">
        <f>'DOE25'!I500</f>
        <v>0</v>
      </c>
      <c r="F160" s="137">
        <f>'DOE25'!J500</f>
        <v>0</v>
      </c>
      <c r="G160" s="138">
        <f t="shared" si="0"/>
        <v>42614</v>
      </c>
    </row>
    <row r="161" spans="1:7" x14ac:dyDescent="0.2">
      <c r="A161" s="22" t="s">
        <v>37</v>
      </c>
      <c r="B161" s="137">
        <f>'DOE25'!F501</f>
        <v>994080</v>
      </c>
      <c r="C161" s="137">
        <f>'DOE25'!G501</f>
        <v>178534</v>
      </c>
      <c r="D161" s="137">
        <f>'DOE25'!H501</f>
        <v>0</v>
      </c>
      <c r="E161" s="137">
        <f>'DOE25'!I501</f>
        <v>0</v>
      </c>
      <c r="F161" s="137">
        <f>'DOE25'!J501</f>
        <v>0</v>
      </c>
      <c r="G161" s="138">
        <f t="shared" si="0"/>
        <v>1172614</v>
      </c>
    </row>
    <row r="162" spans="1:7" x14ac:dyDescent="0.2">
      <c r="A162" s="22" t="s">
        <v>38</v>
      </c>
      <c r="B162" s="137">
        <f>'DOE25'!F502</f>
        <v>480000</v>
      </c>
      <c r="C162" s="137">
        <f>'DOE25'!G502</f>
        <v>85000</v>
      </c>
      <c r="D162" s="137">
        <f>'DOE25'!H502</f>
        <v>0</v>
      </c>
      <c r="E162" s="137">
        <f>'DOE25'!I502</f>
        <v>0</v>
      </c>
      <c r="F162" s="137">
        <f>'DOE25'!J502</f>
        <v>0</v>
      </c>
      <c r="G162" s="138">
        <f t="shared" si="0"/>
        <v>565000</v>
      </c>
    </row>
    <row r="163" spans="1:7" x14ac:dyDescent="0.2">
      <c r="A163" s="22" t="s">
        <v>39</v>
      </c>
      <c r="B163" s="137">
        <f>'DOE25'!F503</f>
        <v>22680</v>
      </c>
      <c r="C163" s="137">
        <f>'DOE25'!G503</f>
        <v>6400.5</v>
      </c>
      <c r="D163" s="137">
        <f>'DOE25'!H503</f>
        <v>0</v>
      </c>
      <c r="E163" s="137">
        <f>'DOE25'!I503</f>
        <v>0</v>
      </c>
      <c r="F163" s="137">
        <f>'DOE25'!J503</f>
        <v>0</v>
      </c>
      <c r="G163" s="138">
        <f t="shared" si="0"/>
        <v>29080.5</v>
      </c>
    </row>
    <row r="164" spans="1:7" x14ac:dyDescent="0.2">
      <c r="A164" s="22" t="s">
        <v>246</v>
      </c>
      <c r="B164" s="137">
        <f>'DOE25'!F504</f>
        <v>502680</v>
      </c>
      <c r="C164" s="137">
        <f>'DOE25'!G504</f>
        <v>91400.5</v>
      </c>
      <c r="D164" s="137">
        <f>'DOE25'!H504</f>
        <v>0</v>
      </c>
      <c r="E164" s="137">
        <f>'DOE25'!I504</f>
        <v>0</v>
      </c>
      <c r="F164" s="137">
        <f>'DOE25'!J504</f>
        <v>0</v>
      </c>
      <c r="G164" s="138">
        <f t="shared" si="0"/>
        <v>594080.5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Barnstead</v>
      </c>
    </row>
    <row r="3" spans="1:4" x14ac:dyDescent="0.2">
      <c r="B3" s="188" t="s">
        <v>1587</v>
      </c>
    </row>
    <row r="4" spans="1:4" x14ac:dyDescent="0.2">
      <c r="B4" t="s">
        <v>61</v>
      </c>
      <c r="C4" s="179">
        <f>IF('DOE25'!F666+'DOE25'!F671=0,0,ROUND('DOE25'!F673,0))</f>
        <v>17902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17902</v>
      </c>
    </row>
    <row r="9" spans="1:4" x14ac:dyDescent="0.2">
      <c r="A9" s="187" t="s">
        <v>94</v>
      </c>
      <c r="B9" s="188" t="s">
        <v>1588</v>
      </c>
      <c r="C9" s="181" t="s">
        <v>720</v>
      </c>
      <c r="D9" s="181" t="s">
        <v>721</v>
      </c>
    </row>
    <row r="10" spans="1:4" x14ac:dyDescent="0.2">
      <c r="A10">
        <v>1100</v>
      </c>
      <c r="B10" t="s">
        <v>702</v>
      </c>
      <c r="C10" s="179">
        <f>ROUND('DOE25'!L198+'DOE25'!L216+'DOE25'!L234+'DOE25'!L277+'DOE25'!L296+'DOE25'!L315,0)</f>
        <v>7447782</v>
      </c>
      <c r="D10" s="182">
        <f>ROUND((C10/$C$28)*100,1)</f>
        <v>54.5</v>
      </c>
    </row>
    <row r="11" spans="1:4" x14ac:dyDescent="0.2">
      <c r="A11">
        <v>1200</v>
      </c>
      <c r="B11" t="s">
        <v>703</v>
      </c>
      <c r="C11" s="179">
        <f>ROUND('DOE25'!L199+'DOE25'!L217+'DOE25'!L235+'DOE25'!L278+'DOE25'!L297+'DOE25'!L316,0)</f>
        <v>2427918</v>
      </c>
      <c r="D11" s="182">
        <f>ROUND((C11/$C$28)*100,1)</f>
        <v>17.8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109263</v>
      </c>
      <c r="D13" s="182">
        <f>ROUND((C13/$C$28)*100,1)</f>
        <v>0.8</v>
      </c>
    </row>
    <row r="14" spans="1:4" x14ac:dyDescent="0.2">
      <c r="D14" s="182"/>
    </row>
    <row r="15" spans="1:4" x14ac:dyDescent="0.2">
      <c r="A15">
        <v>2100</v>
      </c>
      <c r="B15" t="s">
        <v>706</v>
      </c>
      <c r="C15" s="179">
        <f>ROUND('DOE25'!L203+'DOE25'!L221+'DOE25'!L239+'DOE25'!L282+'DOE25'!L301+'DOE25'!L320,0)</f>
        <v>819205</v>
      </c>
      <c r="D15" s="182">
        <f t="shared" ref="D15:D27" si="0">ROUND((C15/$C$28)*100,1)</f>
        <v>6</v>
      </c>
    </row>
    <row r="16" spans="1:4" x14ac:dyDescent="0.2">
      <c r="A16">
        <v>2200</v>
      </c>
      <c r="B16" t="s">
        <v>707</v>
      </c>
      <c r="C16" s="179">
        <f>ROUND('DOE25'!L204+'DOE25'!L222+'DOE25'!L240+'DOE25'!L283+'DOE25'!L302+'DOE25'!L321,0)</f>
        <v>323542</v>
      </c>
      <c r="D16" s="182">
        <f t="shared" si="0"/>
        <v>2.4</v>
      </c>
    </row>
    <row r="17" spans="1:4" x14ac:dyDescent="0.2">
      <c r="A17" s="183" t="s">
        <v>723</v>
      </c>
      <c r="B17" t="s">
        <v>738</v>
      </c>
      <c r="C17" s="179">
        <f>ROUND('DOE25'!L205+'DOE25'!L210+'DOE25'!L223+'DOE25'!L228+'DOE25'!L241+'DOE25'!L246+'DOE25'!L284+'DOE25'!L289+'DOE25'!L303+'DOE25'!L308+'DOE25'!L322+'DOE25'!L327,0)</f>
        <v>499681</v>
      </c>
      <c r="D17" s="182">
        <f t="shared" si="0"/>
        <v>3.7</v>
      </c>
    </row>
    <row r="18" spans="1:4" x14ac:dyDescent="0.2">
      <c r="A18">
        <v>2400</v>
      </c>
      <c r="B18" t="s">
        <v>711</v>
      </c>
      <c r="C18" s="179">
        <f>ROUND('DOE25'!L206+'DOE25'!L224+'DOE25'!L242+'DOE25'!L285+'DOE25'!L304+'DOE25'!L323,0)</f>
        <v>572426</v>
      </c>
      <c r="D18" s="182">
        <f t="shared" si="0"/>
        <v>4.2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551553</v>
      </c>
      <c r="D20" s="182">
        <f t="shared" si="0"/>
        <v>4</v>
      </c>
    </row>
    <row r="21" spans="1:4" x14ac:dyDescent="0.2">
      <c r="A21">
        <v>2700</v>
      </c>
      <c r="B21" t="s">
        <v>710</v>
      </c>
      <c r="C21" s="179">
        <f>ROUND('DOE25'!L209+'DOE25'!L227+'DOE25'!L245+'DOE25'!L288+'DOE25'!L307+'DOE25'!L326,0)</f>
        <v>692449</v>
      </c>
      <c r="D21" s="182">
        <f t="shared" si="0"/>
        <v>5.0999999999999996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44513</v>
      </c>
      <c r="D25" s="182">
        <f t="shared" si="0"/>
        <v>0.3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187547.58000000002</v>
      </c>
      <c r="D27" s="182">
        <f t="shared" si="0"/>
        <v>1.4</v>
      </c>
    </row>
    <row r="28" spans="1:4" x14ac:dyDescent="0.2">
      <c r="B28" s="187" t="s">
        <v>719</v>
      </c>
      <c r="C28" s="180">
        <f>SUM(C10:C27)</f>
        <v>13675879.58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13675879.58</v>
      </c>
    </row>
    <row r="31" spans="1:4" x14ac:dyDescent="0.2">
      <c r="B31" s="33"/>
      <c r="C31" s="180"/>
    </row>
    <row r="32" spans="1:4" x14ac:dyDescent="0.2">
      <c r="A32">
        <v>5100</v>
      </c>
      <c r="B32" s="33" t="s">
        <v>726</v>
      </c>
      <c r="C32" s="180">
        <f>ROUND('DOE25'!L261+'DOE25'!L342,0)</f>
        <v>570000</v>
      </c>
    </row>
    <row r="34" spans="1:4" x14ac:dyDescent="0.2">
      <c r="A34" s="187" t="s">
        <v>94</v>
      </c>
      <c r="B34" s="188" t="s">
        <v>1589</v>
      </c>
      <c r="C34" s="181" t="s">
        <v>720</v>
      </c>
      <c r="D34" s="181" t="s">
        <v>721</v>
      </c>
    </row>
    <row r="35" spans="1:4" x14ac:dyDescent="0.2">
      <c r="A35">
        <v>1100</v>
      </c>
      <c r="B35" s="185" t="s">
        <v>727</v>
      </c>
      <c r="C35" s="179">
        <f>ROUND('DOE25'!F60+'DOE25'!G60+'DOE25'!H60+'DOE25'!I60+'DOE25'!J60,0)</f>
        <v>8888750</v>
      </c>
      <c r="D35" s="182">
        <f t="shared" ref="D35:D40" si="1">ROUND((C35/$C$41)*100,1)</f>
        <v>62.4</v>
      </c>
    </row>
    <row r="36" spans="1:4" x14ac:dyDescent="0.2">
      <c r="B36" s="185" t="s">
        <v>739</v>
      </c>
      <c r="C36" s="179">
        <f>SUM('DOE25'!F112:J112)-SUM('DOE25'!G97:G110)+('DOE25'!F175+'DOE25'!F176+'DOE25'!I175+'DOE25'!I176)-C35</f>
        <v>259352.44999999925</v>
      </c>
      <c r="D36" s="182">
        <f t="shared" si="1"/>
        <v>1.8</v>
      </c>
    </row>
    <row r="37" spans="1:4" x14ac:dyDescent="0.2">
      <c r="A37" s="183" t="s">
        <v>835</v>
      </c>
      <c r="B37" s="185" t="s">
        <v>728</v>
      </c>
      <c r="C37" s="179">
        <f>ROUND('DOE25'!F117+'DOE25'!F118,0)</f>
        <v>4100931</v>
      </c>
      <c r="D37" s="182">
        <f t="shared" si="1"/>
        <v>28.8</v>
      </c>
    </row>
    <row r="38" spans="1:4" x14ac:dyDescent="0.2">
      <c r="A38" s="183" t="s">
        <v>734</v>
      </c>
      <c r="B38" s="185" t="s">
        <v>729</v>
      </c>
      <c r="C38" s="179">
        <f>ROUND(SUM('DOE25'!F140:J140)-SUM('DOE25'!F117:F119),0)</f>
        <v>248462</v>
      </c>
      <c r="D38" s="182">
        <f t="shared" si="1"/>
        <v>1.7</v>
      </c>
    </row>
    <row r="39" spans="1:4" x14ac:dyDescent="0.2">
      <c r="A39">
        <v>4000</v>
      </c>
      <c r="B39" s="185" t="s">
        <v>730</v>
      </c>
      <c r="C39" s="179">
        <f>ROUND('DOE25'!F170+'DOE25'!G170+'DOE25'!H170+'DOE25'!I170,0)</f>
        <v>750283</v>
      </c>
      <c r="D39" s="182">
        <f t="shared" si="1"/>
        <v>5.3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14247778.449999999</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Barnstead</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2020-11-18T16:23:22Z</cp:lastPrinted>
  <dcterms:created xsi:type="dcterms:W3CDTF">1997-12-04T19:04:30Z</dcterms:created>
  <dcterms:modified xsi:type="dcterms:W3CDTF">2020-12-09T16:16:27Z</dcterms:modified>
</cp:coreProperties>
</file>