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H542" i="1" l="1"/>
  <c r="F527" i="1"/>
  <c r="H522" i="1"/>
  <c r="J522" i="1"/>
  <c r="I522" i="1"/>
  <c r="G522" i="1"/>
  <c r="F523" i="1"/>
  <c r="F522" i="1"/>
  <c r="C19" i="12"/>
  <c r="B19" i="12"/>
  <c r="B20" i="12"/>
  <c r="C21" i="12"/>
  <c r="C12" i="12"/>
  <c r="C11" i="12"/>
  <c r="B11" i="12"/>
  <c r="B10" i="12"/>
  <c r="D25" i="14"/>
  <c r="D11" i="13"/>
  <c r="F29" i="13"/>
  <c r="F15" i="13"/>
  <c r="I605" i="1"/>
  <c r="H605" i="1"/>
  <c r="H204" i="1"/>
  <c r="J222" i="1"/>
  <c r="G216" i="1"/>
  <c r="G198" i="1"/>
  <c r="F198" i="1"/>
  <c r="J226" i="1"/>
  <c r="H226" i="1"/>
  <c r="H208" i="1"/>
  <c r="I226" i="1"/>
  <c r="J208" i="1"/>
  <c r="I208" i="1"/>
  <c r="H227" i="1"/>
  <c r="H209" i="1"/>
  <c r="F208" i="1"/>
  <c r="F226" i="1"/>
  <c r="G226" i="1"/>
  <c r="G208" i="1"/>
  <c r="K224" i="1"/>
  <c r="J224" i="1"/>
  <c r="H224" i="1"/>
  <c r="G224" i="1"/>
  <c r="F224" i="1"/>
  <c r="K206" i="1"/>
  <c r="J206" i="1"/>
  <c r="I206" i="1"/>
  <c r="H206" i="1"/>
  <c r="G206" i="1"/>
  <c r="F206" i="1"/>
  <c r="K222" i="1"/>
  <c r="I222" i="1"/>
  <c r="H222" i="1"/>
  <c r="K204" i="1"/>
  <c r="J204" i="1"/>
  <c r="I204" i="1"/>
  <c r="F204" i="1"/>
  <c r="G204" i="1"/>
  <c r="G222" i="1"/>
  <c r="F222" i="1"/>
  <c r="K203" i="1"/>
  <c r="K221" i="1"/>
  <c r="G221" i="1"/>
  <c r="F221" i="1"/>
  <c r="G203" i="1"/>
  <c r="F203" i="1"/>
  <c r="I221" i="1"/>
  <c r="H221" i="1"/>
  <c r="I203" i="1"/>
  <c r="H203" i="1"/>
  <c r="J203" i="1"/>
  <c r="J221" i="1"/>
  <c r="K219" i="1"/>
  <c r="I219" i="1"/>
  <c r="H219" i="1"/>
  <c r="G219" i="1"/>
  <c r="F219" i="1"/>
  <c r="F217" i="1"/>
  <c r="J217" i="1"/>
  <c r="I217" i="1"/>
  <c r="H217" i="1"/>
  <c r="G217" i="1"/>
  <c r="F199" i="1"/>
  <c r="J199" i="1"/>
  <c r="I199" i="1"/>
  <c r="H199" i="1"/>
  <c r="G199" i="1"/>
  <c r="K216" i="1"/>
  <c r="I216" i="1"/>
  <c r="H216" i="1"/>
  <c r="F216" i="1"/>
  <c r="I198" i="1"/>
  <c r="H198" i="1"/>
  <c r="I243" i="1"/>
  <c r="H243" i="1"/>
  <c r="G243" i="1"/>
  <c r="F243" i="1"/>
  <c r="I225" i="1"/>
  <c r="H225" i="1"/>
  <c r="G225" i="1"/>
  <c r="F225" i="1"/>
  <c r="I207" i="1"/>
  <c r="H207" i="1"/>
  <c r="G207" i="1"/>
  <c r="F207" i="1"/>
  <c r="K205" i="1"/>
  <c r="J205" i="1"/>
  <c r="I205" i="1"/>
  <c r="H205" i="1"/>
  <c r="G205" i="1"/>
  <c r="F205" i="1"/>
  <c r="K223" i="1"/>
  <c r="J223" i="1"/>
  <c r="I223" i="1"/>
  <c r="H223" i="1"/>
  <c r="G223" i="1"/>
  <c r="F223" i="1"/>
  <c r="K241" i="1"/>
  <c r="J241" i="1"/>
  <c r="I241" i="1"/>
  <c r="H241" i="1"/>
  <c r="G241" i="1"/>
  <c r="F241" i="1"/>
  <c r="H245" i="1"/>
  <c r="H235" i="1"/>
  <c r="H234" i="1"/>
  <c r="F12" i="1"/>
  <c r="F9" i="1"/>
  <c r="F29" i="1"/>
  <c r="H576" i="1"/>
  <c r="I592" i="1"/>
  <c r="H592" i="1"/>
  <c r="H596" i="1"/>
  <c r="H593" i="1"/>
  <c r="F28" i="1"/>
  <c r="F277" i="1"/>
  <c r="F296" i="1"/>
  <c r="H302" i="1"/>
  <c r="H283" i="1"/>
  <c r="G278" i="1"/>
  <c r="F278" i="1"/>
  <c r="G302" i="1"/>
  <c r="G283" i="1"/>
  <c r="H278" i="1"/>
  <c r="I296" i="1"/>
  <c r="H296" i="1"/>
  <c r="G296" i="1"/>
  <c r="I277" i="1"/>
  <c r="H277" i="1"/>
  <c r="G277" i="1"/>
  <c r="I283" i="1"/>
  <c r="F283" i="1"/>
  <c r="I302" i="1"/>
  <c r="F302" i="1"/>
  <c r="H288" i="1"/>
  <c r="F473" i="1"/>
  <c r="K360" i="1"/>
  <c r="K359" i="1"/>
  <c r="H360" i="1"/>
  <c r="H359" i="1"/>
  <c r="G469" i="1"/>
  <c r="F499" i="1"/>
  <c r="B22" i="12"/>
  <c r="R4" i="15"/>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c r="B7" i="14"/>
  <c r="C7" i="14"/>
  <c r="B8" i="14"/>
  <c r="C8" i="14"/>
  <c r="B9" i="14"/>
  <c r="C9" i="14"/>
  <c r="B10" i="14"/>
  <c r="C10" i="14"/>
  <c r="B11" i="14"/>
  <c r="C11" i="14"/>
  <c r="B12" i="14"/>
  <c r="C12" i="14"/>
  <c r="B13" i="14"/>
  <c r="C13" i="14"/>
  <c r="B14" i="14"/>
  <c r="C14" i="14"/>
  <c r="B15" i="14"/>
  <c r="C15" i="14"/>
  <c r="B16" i="14"/>
  <c r="C16" i="14"/>
  <c r="B17" i="14"/>
  <c r="C17" i="14"/>
  <c r="B18" i="14"/>
  <c r="C18" i="14"/>
  <c r="B19" i="14"/>
  <c r="C19" i="14"/>
  <c r="B20" i="14"/>
  <c r="C20" i="14"/>
  <c r="B5" i="14"/>
  <c r="C5" i="14"/>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c r="E88" i="2"/>
  <c r="E91" i="2" s="1"/>
  <c r="E104" i="2" s="1"/>
  <c r="D88" i="2"/>
  <c r="C88" i="2"/>
  <c r="I163" i="1"/>
  <c r="H163" i="1"/>
  <c r="H170" i="1" s="1"/>
  <c r="G163" i="1"/>
  <c r="F163" i="1"/>
  <c r="B31" i="16"/>
  <c r="B27" i="16"/>
  <c r="B9" i="16"/>
  <c r="B5" i="16"/>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8" i="14"/>
  <c r="C28" i="14" a="1"/>
  <c r="C28" i="14"/>
  <c r="B29" i="14"/>
  <c r="C29" i="14" a="1"/>
  <c r="C29" i="14"/>
  <c r="B30" i="14"/>
  <c r="C30" i="14" a="1"/>
  <c r="C30" i="14"/>
  <c r="B31" i="14"/>
  <c r="C31" i="14" a="1"/>
  <c r="C31" i="14"/>
  <c r="B32" i="14"/>
  <c r="C32" i="14" a="1"/>
  <c r="C32" i="14"/>
  <c r="B25" i="14"/>
  <c r="C25" i="14" a="1"/>
  <c r="C25" i="14"/>
  <c r="F5" i="14"/>
  <c r="F24" i="14"/>
  <c r="F4" i="14"/>
  <c r="F36" i="14"/>
  <c r="B2" i="14"/>
  <c r="A2" i="14"/>
  <c r="F33" i="13"/>
  <c r="C45" i="2"/>
  <c r="G51" i="1"/>
  <c r="F51" i="1"/>
  <c r="C37" i="10"/>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3" i="10"/>
  <c r="L234" i="1"/>
  <c r="L235" i="1"/>
  <c r="L236" i="1"/>
  <c r="L237" i="1"/>
  <c r="G6" i="13"/>
  <c r="H6" i="13"/>
  <c r="L203" i="1"/>
  <c r="L221" i="1"/>
  <c r="L239" i="1"/>
  <c r="G7" i="13"/>
  <c r="H7" i="13"/>
  <c r="L204" i="1"/>
  <c r="C119" i="2"/>
  <c r="L222" i="1"/>
  <c r="L240" i="1"/>
  <c r="G12" i="13"/>
  <c r="H12" i="13"/>
  <c r="L206" i="1"/>
  <c r="L224" i="1"/>
  <c r="L242" i="1"/>
  <c r="G14" i="13"/>
  <c r="H14" i="13"/>
  <c r="L208" i="1"/>
  <c r="L226" i="1"/>
  <c r="L244" i="1"/>
  <c r="G15" i="13"/>
  <c r="H15" i="13"/>
  <c r="L209" i="1"/>
  <c r="L227" i="1"/>
  <c r="L245" i="1"/>
  <c r="G17" i="13"/>
  <c r="H17" i="13"/>
  <c r="L252" i="1"/>
  <c r="G18" i="13"/>
  <c r="H18" i="13"/>
  <c r="L253" i="1"/>
  <c r="D18" i="13"/>
  <c r="C18" i="13"/>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c r="L327" i="1"/>
  <c r="L334" i="1"/>
  <c r="E114" i="2"/>
  <c r="L335" i="1"/>
  <c r="L336" i="1"/>
  <c r="L261" i="1"/>
  <c r="L262" i="1"/>
  <c r="C132" i="2"/>
  <c r="L342" i="1"/>
  <c r="L343" i="1"/>
  <c r="L256" i="1"/>
  <c r="L337" i="1"/>
  <c r="E130" i="2"/>
  <c r="C11" i="13"/>
  <c r="C10" i="13"/>
  <c r="C9" i="13"/>
  <c r="L362" i="1"/>
  <c r="B4" i="12"/>
  <c r="B36" i="12"/>
  <c r="C36" i="12"/>
  <c r="B40" i="12"/>
  <c r="C40" i="12"/>
  <c r="B27" i="12"/>
  <c r="C27" i="12"/>
  <c r="B31" i="12"/>
  <c r="A31" i="12"/>
  <c r="C31" i="12"/>
  <c r="B9" i="12"/>
  <c r="B13" i="12"/>
  <c r="C9" i="12"/>
  <c r="C13" i="12"/>
  <c r="B18" i="12"/>
  <c r="C18" i="12"/>
  <c r="C22" i="12"/>
  <c r="B1" i="12"/>
  <c r="L388" i="1"/>
  <c r="L389" i="1"/>
  <c r="L390" i="1"/>
  <c r="L391" i="1"/>
  <c r="L392" i="1"/>
  <c r="L393" i="1"/>
  <c r="L396" i="1"/>
  <c r="L397" i="1"/>
  <c r="L398" i="1"/>
  <c r="L399" i="1"/>
  <c r="L401" i="1"/>
  <c r="L404" i="1"/>
  <c r="L405" i="1"/>
  <c r="L406" i="1"/>
  <c r="L407" i="1"/>
  <c r="L267" i="1"/>
  <c r="J60" i="1"/>
  <c r="G56" i="2"/>
  <c r="G59" i="2"/>
  <c r="G62" i="2"/>
  <c r="G61" i="2"/>
  <c r="F2" i="11"/>
  <c r="L614" i="1"/>
  <c r="H664" i="1"/>
  <c r="L613" i="1"/>
  <c r="G664" i="1"/>
  <c r="L612" i="1"/>
  <c r="F664" i="1"/>
  <c r="C40" i="10"/>
  <c r="F60" i="1"/>
  <c r="G60" i="1"/>
  <c r="D56" i="2"/>
  <c r="H60" i="1"/>
  <c r="I60" i="1"/>
  <c r="F79" i="1"/>
  <c r="C57" i="2"/>
  <c r="F94" i="1"/>
  <c r="F111" i="1"/>
  <c r="G111" i="1"/>
  <c r="H79" i="1"/>
  <c r="H94" i="1"/>
  <c r="E58" i="2"/>
  <c r="H111" i="1"/>
  <c r="I111" i="1"/>
  <c r="I112" i="1"/>
  <c r="J111" i="1"/>
  <c r="J112" i="1"/>
  <c r="F121" i="1"/>
  <c r="F136" i="1"/>
  <c r="G121" i="1"/>
  <c r="G136" i="1"/>
  <c r="H121" i="1"/>
  <c r="H136" i="1"/>
  <c r="I121" i="1"/>
  <c r="I136" i="1"/>
  <c r="J121" i="1"/>
  <c r="J140" i="1"/>
  <c r="J136" i="1"/>
  <c r="F147" i="1"/>
  <c r="F170" i="1"/>
  <c r="G147" i="1"/>
  <c r="D85" i="2"/>
  <c r="H147" i="1"/>
  <c r="I147" i="1"/>
  <c r="L251" i="1"/>
  <c r="C113" i="2"/>
  <c r="L333" i="1"/>
  <c r="E113" i="2"/>
  <c r="L255" i="1"/>
  <c r="L269" i="1"/>
  <c r="L270" i="1"/>
  <c r="L350" i="1"/>
  <c r="E142" i="2"/>
  <c r="L351" i="1"/>
  <c r="E143" i="2"/>
  <c r="I666" i="1"/>
  <c r="I671" i="1"/>
  <c r="G663" i="1"/>
  <c r="I670" i="1"/>
  <c r="C42" i="10"/>
  <c r="C32" i="10"/>
  <c r="L375" i="1"/>
  <c r="L376" i="1"/>
  <c r="L377" i="1"/>
  <c r="L378" i="1"/>
  <c r="L379" i="1"/>
  <c r="L380" i="1"/>
  <c r="L381" i="1"/>
  <c r="B2" i="10"/>
  <c r="L345" i="1"/>
  <c r="E134" i="2"/>
  <c r="L346" i="1"/>
  <c r="E135" i="2"/>
  <c r="L347" i="1"/>
  <c r="L348" i="1"/>
  <c r="K352" i="1"/>
  <c r="L522" i="1"/>
  <c r="F550" i="1"/>
  <c r="L523" i="1"/>
  <c r="F551" i="1"/>
  <c r="L524" i="1"/>
  <c r="F552" i="1" s="1"/>
  <c r="L527" i="1"/>
  <c r="G550" i="1"/>
  <c r="L528" i="1"/>
  <c r="G551" i="1"/>
  <c r="L529" i="1"/>
  <c r="G552" i="1"/>
  <c r="L532" i="1"/>
  <c r="H550" i="1"/>
  <c r="L533" i="1"/>
  <c r="H551" i="1"/>
  <c r="L534" i="1"/>
  <c r="H552" i="1"/>
  <c r="L537" i="1"/>
  <c r="I550" i="1"/>
  <c r="L538" i="1"/>
  <c r="I551" i="1"/>
  <c r="L539" i="1"/>
  <c r="I552" i="1"/>
  <c r="L542" i="1"/>
  <c r="J550" i="1"/>
  <c r="L543" i="1"/>
  <c r="J551" i="1"/>
  <c r="L544" i="1"/>
  <c r="J552" i="1"/>
  <c r="E132" i="2"/>
  <c r="E131" i="2"/>
  <c r="K271" i="1"/>
  <c r="J271" i="1"/>
  <c r="I271" i="1"/>
  <c r="H271" i="1"/>
  <c r="G271" i="1"/>
  <c r="F271" i="1"/>
  <c r="C131" i="2"/>
  <c r="A1" i="2"/>
  <c r="A2" i="2"/>
  <c r="C8" i="2"/>
  <c r="D8" i="2"/>
  <c r="E8" i="2"/>
  <c r="F8" i="2"/>
  <c r="I440" i="1"/>
  <c r="J9" i="1"/>
  <c r="G8" i="2"/>
  <c r="C9" i="2"/>
  <c r="D9" i="2"/>
  <c r="E9" i="2"/>
  <c r="F9" i="2"/>
  <c r="I441" i="1"/>
  <c r="J10" i="1"/>
  <c r="G9" i="2"/>
  <c r="C10" i="2"/>
  <c r="C11" i="2"/>
  <c r="D11" i="2"/>
  <c r="E11" i="2"/>
  <c r="F11" i="2"/>
  <c r="I442" i="1"/>
  <c r="J12" i="1"/>
  <c r="G11" i="2"/>
  <c r="C12" i="2"/>
  <c r="D12" i="2"/>
  <c r="E12" i="2"/>
  <c r="F12" i="2"/>
  <c r="I443" i="1"/>
  <c r="J13" i="1"/>
  <c r="G12" i="2"/>
  <c r="C13" i="2"/>
  <c r="D13" i="2"/>
  <c r="E13" i="2"/>
  <c r="F13" i="2"/>
  <c r="I444" i="1"/>
  <c r="J14" i="1"/>
  <c r="G13" i="2"/>
  <c r="F14" i="2"/>
  <c r="C15" i="2"/>
  <c r="D15" i="2"/>
  <c r="E15" i="2"/>
  <c r="F15" i="2"/>
  <c r="C16" i="2"/>
  <c r="D16" i="2"/>
  <c r="E16" i="2"/>
  <c r="F16" i="2"/>
  <c r="I445" i="1"/>
  <c r="J17" i="1"/>
  <c r="C17" i="2"/>
  <c r="D17" i="2"/>
  <c r="E17" i="2"/>
  <c r="F17" i="2"/>
  <c r="I446" i="1"/>
  <c r="J18" i="1"/>
  <c r="G17" i="2"/>
  <c r="C21" i="2"/>
  <c r="D21" i="2"/>
  <c r="E21" i="2"/>
  <c r="F21" i="2"/>
  <c r="I449" i="1"/>
  <c r="J22" i="1"/>
  <c r="C22" i="2"/>
  <c r="D22" i="2"/>
  <c r="E22" i="2"/>
  <c r="F22" i="2"/>
  <c r="I450" i="1"/>
  <c r="J23" i="1"/>
  <c r="G22" i="2"/>
  <c r="C23" i="2"/>
  <c r="D23" i="2"/>
  <c r="E23" i="2"/>
  <c r="F23" i="2"/>
  <c r="I451" i="1"/>
  <c r="J24" i="1"/>
  <c r="G23" i="2"/>
  <c r="C24" i="2"/>
  <c r="D24" i="2"/>
  <c r="E24" i="2"/>
  <c r="F24" i="2"/>
  <c r="C25" i="2"/>
  <c r="F25" i="2"/>
  <c r="C26" i="2"/>
  <c r="F26" i="2"/>
  <c r="C27" i="2"/>
  <c r="D27" i="2"/>
  <c r="E27" i="2"/>
  <c r="F27" i="2"/>
  <c r="C28" i="2"/>
  <c r="D28" i="2"/>
  <c r="E28" i="2"/>
  <c r="F28" i="2"/>
  <c r="C29" i="2"/>
  <c r="D29" i="2"/>
  <c r="E29" i="2"/>
  <c r="F29" i="2"/>
  <c r="C30" i="2"/>
  <c r="D30" i="2"/>
  <c r="E30" i="2"/>
  <c r="F30" i="2"/>
  <c r="I452" i="1"/>
  <c r="J31" i="1"/>
  <c r="G30" i="2"/>
  <c r="C34" i="2"/>
  <c r="D34" i="2"/>
  <c r="E34" i="2"/>
  <c r="F34" i="2"/>
  <c r="C35" i="2"/>
  <c r="D35" i="2"/>
  <c r="E35" i="2"/>
  <c r="F35" i="2"/>
  <c r="I455" i="1"/>
  <c r="J49" i="1"/>
  <c r="G48" i="2"/>
  <c r="I457" i="1"/>
  <c r="J43" i="1"/>
  <c r="I458" i="1"/>
  <c r="J37" i="1"/>
  <c r="G36" i="2"/>
  <c r="I460" i="1"/>
  <c r="J48" i="1"/>
  <c r="G47" i="2"/>
  <c r="C49" i="2"/>
  <c r="E56" i="2"/>
  <c r="F56" i="2"/>
  <c r="C58" i="2"/>
  <c r="C59" i="2"/>
  <c r="D59" i="2"/>
  <c r="E59" i="2"/>
  <c r="F59" i="2"/>
  <c r="D60" i="2"/>
  <c r="C61" i="2"/>
  <c r="D61" i="2"/>
  <c r="E61" i="2"/>
  <c r="F61" i="2"/>
  <c r="C66" i="2"/>
  <c r="C67" i="2"/>
  <c r="C69" i="2"/>
  <c r="D69" i="2"/>
  <c r="D70" i="2"/>
  <c r="E69" i="2"/>
  <c r="E70" i="2"/>
  <c r="F69" i="2"/>
  <c r="F70" i="2"/>
  <c r="G69" i="2"/>
  <c r="G70" i="2"/>
  <c r="C72" i="2"/>
  <c r="F72" i="2"/>
  <c r="C73" i="2"/>
  <c r="F73" i="2"/>
  <c r="C74" i="2"/>
  <c r="C75" i="2"/>
  <c r="C76" i="2"/>
  <c r="E76" i="2"/>
  <c r="F76" i="2"/>
  <c r="C77" i="2"/>
  <c r="D77" i="2"/>
  <c r="D78" i="2"/>
  <c r="E77" i="2"/>
  <c r="F77" i="2"/>
  <c r="G77" i="2"/>
  <c r="G78" i="2"/>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2" i="2"/>
  <c r="D115" i="2"/>
  <c r="F115" i="2"/>
  <c r="G115" i="2"/>
  <c r="E119" i="2"/>
  <c r="E120" i="2"/>
  <c r="E121" i="2"/>
  <c r="E123" i="2"/>
  <c r="E124" i="2"/>
  <c r="C125" i="2"/>
  <c r="E125" i="2"/>
  <c r="F128" i="2"/>
  <c r="G128" i="2"/>
  <c r="C130" i="2"/>
  <c r="D134" i="2"/>
  <c r="D144" i="2"/>
  <c r="F134" i="2"/>
  <c r="K420" i="1"/>
  <c r="K428" i="1"/>
  <c r="K434" i="1"/>
  <c r="L264" i="1"/>
  <c r="C135" i="2"/>
  <c r="L265" i="1"/>
  <c r="C136" i="2"/>
  <c r="L266" i="1"/>
  <c r="C137" i="2"/>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F19" i="1"/>
  <c r="G618" i="1"/>
  <c r="G19" i="1"/>
  <c r="G619" i="1"/>
  <c r="H19" i="1"/>
  <c r="G620" i="1"/>
  <c r="I19" i="1"/>
  <c r="G621" i="1"/>
  <c r="F32" i="1"/>
  <c r="F52" i="1"/>
  <c r="H618" i="1"/>
  <c r="G32" i="1"/>
  <c r="G52" i="1"/>
  <c r="H619" i="1"/>
  <c r="H32" i="1"/>
  <c r="I32" i="1"/>
  <c r="H51" i="1"/>
  <c r="I51" i="1"/>
  <c r="F178" i="1"/>
  <c r="I178" i="1"/>
  <c r="F184" i="1"/>
  <c r="G184" i="1"/>
  <c r="H184" i="1"/>
  <c r="H193" i="1"/>
  <c r="I184" i="1"/>
  <c r="J184" i="1"/>
  <c r="J193" i="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c r="J257" i="1"/>
  <c r="K257" i="1"/>
  <c r="F291" i="1"/>
  <c r="G291" i="1"/>
  <c r="H291" i="1"/>
  <c r="I291" i="1"/>
  <c r="F310" i="1"/>
  <c r="G310" i="1"/>
  <c r="H310" i="1"/>
  <c r="I310" i="1"/>
  <c r="F329" i="1"/>
  <c r="G329" i="1"/>
  <c r="H329" i="1"/>
  <c r="I329" i="1"/>
  <c r="F338" i="1"/>
  <c r="G338" i="1"/>
  <c r="H338" i="1"/>
  <c r="I338" i="1"/>
  <c r="J338" i="1"/>
  <c r="K338" i="1"/>
  <c r="K339" i="1"/>
  <c r="F363" i="1"/>
  <c r="G363" i="1"/>
  <c r="H363" i="1"/>
  <c r="I363" i="1"/>
  <c r="J363" i="1"/>
  <c r="K363" i="1"/>
  <c r="I369" i="1"/>
  <c r="I370" i="1"/>
  <c r="H635" i="1"/>
  <c r="F370" i="1"/>
  <c r="G370" i="1"/>
  <c r="H370" i="1"/>
  <c r="L382" i="1"/>
  <c r="F383" i="1"/>
  <c r="G383" i="1"/>
  <c r="H383" i="1"/>
  <c r="I383" i="1"/>
  <c r="J383" i="1"/>
  <c r="K383" i="1"/>
  <c r="F394" i="1"/>
  <c r="G394" i="1"/>
  <c r="H394" i="1"/>
  <c r="I394" i="1"/>
  <c r="F402" i="1"/>
  <c r="G402" i="1"/>
  <c r="I402" i="1"/>
  <c r="F408" i="1"/>
  <c r="G408" i="1"/>
  <c r="G409" i="1"/>
  <c r="H646" i="1"/>
  <c r="H408" i="1"/>
  <c r="I408" i="1"/>
  <c r="F409" i="1"/>
  <c r="H644" i="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c r="G447" i="1"/>
  <c r="H447" i="1"/>
  <c r="G642" i="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c r="I599" i="1"/>
  <c r="H651" i="1"/>
  <c r="J599" i="1"/>
  <c r="H652" i="1"/>
  <c r="K603" i="1"/>
  <c r="K604" i="1"/>
  <c r="K605" i="1"/>
  <c r="H606" i="1"/>
  <c r="I606" i="1"/>
  <c r="J606" i="1"/>
  <c r="F615" i="1"/>
  <c r="G615" i="1"/>
  <c r="H615" i="1"/>
  <c r="I615" i="1"/>
  <c r="J615" i="1"/>
  <c r="K615" i="1"/>
  <c r="G623" i="1"/>
  <c r="G624" i="1"/>
  <c r="G625" i="1"/>
  <c r="H628" i="1"/>
  <c r="H629" i="1"/>
  <c r="H630" i="1"/>
  <c r="H631" i="1"/>
  <c r="H632" i="1"/>
  <c r="H633" i="1"/>
  <c r="H634" i="1"/>
  <c r="G635" i="1"/>
  <c r="H636" i="1"/>
  <c r="H637" i="1"/>
  <c r="H638" i="1"/>
  <c r="H639" i="1"/>
  <c r="G641" i="1"/>
  <c r="G644" i="1"/>
  <c r="G645" i="1"/>
  <c r="G646" i="1"/>
  <c r="G651" i="1"/>
  <c r="G652" i="1"/>
  <c r="G653" i="1"/>
  <c r="H653" i="1"/>
  <c r="G654" i="1"/>
  <c r="H654" i="1"/>
  <c r="G655" i="1"/>
  <c r="H655" i="1"/>
  <c r="H656" i="1"/>
  <c r="J656" i="1"/>
  <c r="A40" i="12"/>
  <c r="I170" i="1"/>
  <c r="H140" i="1"/>
  <c r="C20" i="10"/>
  <c r="C121" i="2"/>
  <c r="D6" i="13"/>
  <c r="C6" i="13"/>
  <c r="C12" i="10"/>
  <c r="E13" i="13"/>
  <c r="C13" i="13"/>
  <c r="C120" i="2"/>
  <c r="J258" i="1"/>
  <c r="J272" i="1"/>
  <c r="F258" i="1"/>
  <c r="F272" i="1"/>
  <c r="D15" i="13"/>
  <c r="C15" i="13"/>
  <c r="C11" i="10"/>
  <c r="J652" i="1"/>
  <c r="G339" i="1"/>
  <c r="G353" i="1"/>
  <c r="G477" i="1"/>
  <c r="H624" i="1"/>
  <c r="J624" i="1"/>
  <c r="G662" i="1"/>
  <c r="H112" i="1"/>
  <c r="H462" i="1"/>
  <c r="H642" i="1"/>
  <c r="J642" i="1"/>
  <c r="H477" i="1"/>
  <c r="H625" i="1"/>
  <c r="J625" i="1"/>
  <c r="K353" i="1"/>
  <c r="C91" i="2"/>
  <c r="D50" i="2"/>
  <c r="G553" i="1"/>
  <c r="F339" i="1"/>
  <c r="F353" i="1"/>
  <c r="L561" i="1"/>
  <c r="G462" i="1"/>
  <c r="H641" i="1"/>
  <c r="E103" i="2"/>
  <c r="D18" i="2"/>
  <c r="H553" i="1"/>
  <c r="L310" i="1"/>
  <c r="I546" i="1"/>
  <c r="F462" i="1"/>
  <c r="H640" i="1"/>
  <c r="J640" i="1"/>
  <c r="K606" i="1"/>
  <c r="G649" i="1"/>
  <c r="H258" i="1"/>
  <c r="H272" i="1"/>
  <c r="I52" i="1"/>
  <c r="H621" i="1"/>
  <c r="D31" i="2"/>
  <c r="E31" i="2"/>
  <c r="C18" i="2"/>
  <c r="F18" i="2"/>
  <c r="L271" i="1"/>
  <c r="F662" i="1"/>
  <c r="F572" i="1"/>
  <c r="L420" i="1"/>
  <c r="D91" i="2"/>
  <c r="D81" i="2"/>
  <c r="E78" i="2"/>
  <c r="G546" i="1"/>
  <c r="J644" i="1"/>
  <c r="J646" i="1"/>
  <c r="F112" i="1"/>
  <c r="L394" i="1"/>
  <c r="C138" i="2"/>
  <c r="L363" i="1"/>
  <c r="B17" i="16"/>
  <c r="B19" i="16"/>
  <c r="B28" i="16"/>
  <c r="L329" i="1"/>
  <c r="E122" i="2"/>
  <c r="L291" i="1"/>
  <c r="L615" i="1"/>
  <c r="K599" i="1"/>
  <c r="G648" i="1"/>
  <c r="K572" i="1"/>
  <c r="L571" i="1"/>
  <c r="H572" i="1"/>
  <c r="L566" i="1"/>
  <c r="L572" i="1"/>
  <c r="I572" i="1"/>
  <c r="K546" i="1"/>
  <c r="H52" i="1"/>
  <c r="H620" i="1"/>
  <c r="C114" i="2"/>
  <c r="G112" i="1"/>
  <c r="B10" i="16"/>
  <c r="E118" i="2"/>
  <c r="L248" i="1"/>
  <c r="H661" i="1"/>
  <c r="L212" i="1"/>
  <c r="H648" i="1"/>
  <c r="J635" i="1"/>
  <c r="G626" i="1"/>
  <c r="L530" i="1"/>
  <c r="H546" i="1"/>
  <c r="G164" i="2"/>
  <c r="G161" i="2"/>
  <c r="G157" i="2"/>
  <c r="G156" i="2"/>
  <c r="G81" i="2"/>
  <c r="C78" i="2"/>
  <c r="F78" i="2"/>
  <c r="F81" i="2"/>
  <c r="C70" i="2"/>
  <c r="D62" i="2"/>
  <c r="D63" i="2"/>
  <c r="E57" i="2"/>
  <c r="E62" i="2"/>
  <c r="E63" i="2"/>
  <c r="C26" i="10"/>
  <c r="C18" i="10"/>
  <c r="J641" i="1"/>
  <c r="J546" i="1"/>
  <c r="I477" i="1"/>
  <c r="H626" i="1"/>
  <c r="J477" i="1"/>
  <c r="H627" i="1"/>
  <c r="F477" i="1"/>
  <c r="H623" i="1"/>
  <c r="J623" i="1"/>
  <c r="L434" i="1"/>
  <c r="L428" i="1"/>
  <c r="I258" i="1"/>
  <c r="I272" i="1"/>
  <c r="K258" i="1"/>
  <c r="K272" i="1"/>
  <c r="G193" i="1"/>
  <c r="B13" i="16"/>
  <c r="F193" i="1"/>
  <c r="J553" i="1"/>
  <c r="I553" i="1"/>
  <c r="K550" i="1"/>
  <c r="L352" i="1"/>
  <c r="F130" i="2"/>
  <c r="F144" i="2" s="1"/>
  <c r="F145" i="2" s="1"/>
  <c r="G170" i="1"/>
  <c r="B12" i="16"/>
  <c r="J618" i="1"/>
  <c r="I25" i="13"/>
  <c r="K551" i="1"/>
  <c r="L535" i="1"/>
  <c r="K501" i="1"/>
  <c r="I461" i="1"/>
  <c r="I453" i="1"/>
  <c r="I447" i="1"/>
  <c r="G643" i="1"/>
  <c r="H339" i="1"/>
  <c r="H353" i="1"/>
  <c r="C123" i="2"/>
  <c r="E109" i="2"/>
  <c r="E115" i="2"/>
  <c r="C56" i="2"/>
  <c r="F663" i="1"/>
  <c r="I663" i="1"/>
  <c r="C25" i="10"/>
  <c r="C21" i="10"/>
  <c r="C17" i="10"/>
  <c r="D19" i="13"/>
  <c r="C19" i="13"/>
  <c r="D14" i="13"/>
  <c r="C14" i="13"/>
  <c r="C62" i="2"/>
  <c r="G22" i="13"/>
  <c r="C22" i="13"/>
  <c r="L540" i="1"/>
  <c r="K504" i="1"/>
  <c r="L383" i="1"/>
  <c r="G637" i="1"/>
  <c r="J637" i="1"/>
  <c r="G258" i="1"/>
  <c r="G272" i="1"/>
  <c r="C142" i="2"/>
  <c r="C111" i="2"/>
  <c r="H662" i="1"/>
  <c r="C15" i="10"/>
  <c r="A13" i="12"/>
  <c r="D29" i="13"/>
  <c r="C29" i="13"/>
  <c r="D12" i="13"/>
  <c r="C12" i="13"/>
  <c r="D5" i="13"/>
  <c r="C5" i="13"/>
  <c r="E8" i="13"/>
  <c r="C8" i="13"/>
  <c r="E128" i="2"/>
  <c r="C35" i="10"/>
  <c r="C29" i="10"/>
  <c r="E81" i="2"/>
  <c r="G650" i="1"/>
  <c r="J650" i="1"/>
  <c r="L545" i="1"/>
  <c r="L525" i="1"/>
  <c r="J339" i="1"/>
  <c r="J353" i="1"/>
  <c r="D127" i="2"/>
  <c r="D128" i="2"/>
  <c r="D145" i="2"/>
  <c r="C124" i="2"/>
  <c r="C122" i="2"/>
  <c r="C118" i="2"/>
  <c r="C19" i="10"/>
  <c r="C16" i="10"/>
  <c r="D17" i="13"/>
  <c r="C17" i="13"/>
  <c r="D7" i="13"/>
  <c r="C7" i="13"/>
  <c r="E16" i="13"/>
  <c r="C16" i="13"/>
  <c r="C10" i="10"/>
  <c r="C109" i="2"/>
  <c r="L230" i="1"/>
  <c r="L338" i="1"/>
  <c r="F62" i="2"/>
  <c r="F63" i="2"/>
  <c r="C23" i="10"/>
  <c r="G163" i="2"/>
  <c r="G162" i="2"/>
  <c r="G160" i="2"/>
  <c r="G159" i="2"/>
  <c r="G158" i="2"/>
  <c r="G103" i="2"/>
  <c r="F103" i="2"/>
  <c r="C103" i="2"/>
  <c r="F91" i="2"/>
  <c r="E50" i="2"/>
  <c r="E51" i="2"/>
  <c r="C50" i="2"/>
  <c r="F31" i="2"/>
  <c r="C31" i="2"/>
  <c r="E18" i="2"/>
  <c r="E144" i="2"/>
  <c r="F50" i="2"/>
  <c r="F51" i="2"/>
  <c r="C24" i="10"/>
  <c r="H31" i="13"/>
  <c r="H33" i="13"/>
  <c r="I339" i="1"/>
  <c r="I353" i="1"/>
  <c r="J651" i="1"/>
  <c r="L408" i="1"/>
  <c r="C140" i="2"/>
  <c r="I193" i="1"/>
  <c r="J655" i="1"/>
  <c r="J654" i="1"/>
  <c r="G21" i="2"/>
  <c r="G31" i="2"/>
  <c r="J32" i="1"/>
  <c r="J435" i="1"/>
  <c r="F435" i="1"/>
  <c r="K435" i="1"/>
  <c r="G134" i="2"/>
  <c r="G144" i="2"/>
  <c r="G145" i="2"/>
  <c r="G31" i="13"/>
  <c r="J194" i="1"/>
  <c r="G647" i="1"/>
  <c r="G140" i="1"/>
  <c r="B11" i="16"/>
  <c r="F140" i="1"/>
  <c r="G63" i="2"/>
  <c r="J619" i="1"/>
  <c r="G42" i="2"/>
  <c r="G50" i="2"/>
  <c r="J51" i="1"/>
  <c r="G16" i="2"/>
  <c r="G18" i="2"/>
  <c r="J19" i="1"/>
  <c r="G622" i="1"/>
  <c r="F546" i="1"/>
  <c r="H435" i="1"/>
  <c r="J621" i="1"/>
  <c r="J620" i="1"/>
  <c r="D103" i="2"/>
  <c r="I140" i="1"/>
  <c r="A22" i="12"/>
  <c r="J653" i="1"/>
  <c r="G572" i="1"/>
  <c r="I435" i="1"/>
  <c r="G435" i="1"/>
  <c r="I664" i="1"/>
  <c r="G36" i="14"/>
  <c r="H36" i="14"/>
  <c r="I36" i="14"/>
  <c r="D51" i="2"/>
  <c r="H649" i="1"/>
  <c r="J649" i="1"/>
  <c r="G24" i="14"/>
  <c r="H24" i="14"/>
  <c r="I24" i="14"/>
  <c r="E145" i="2"/>
  <c r="F661" i="1"/>
  <c r="F665" i="1"/>
  <c r="F668" i="1"/>
  <c r="B33" i="16"/>
  <c r="H665" i="1"/>
  <c r="H668" i="1"/>
  <c r="F194" i="1"/>
  <c r="G628" i="1"/>
  <c r="J628" i="1"/>
  <c r="C81" i="2"/>
  <c r="C36" i="10"/>
  <c r="L435" i="1"/>
  <c r="G639" i="1"/>
  <c r="J639" i="1"/>
  <c r="I662" i="1"/>
  <c r="G104" i="2"/>
  <c r="L339" i="1"/>
  <c r="L353" i="1"/>
  <c r="G634" i="1"/>
  <c r="J634" i="1"/>
  <c r="I194" i="1"/>
  <c r="G631" i="1"/>
  <c r="J631" i="1"/>
  <c r="G636" i="1"/>
  <c r="J636" i="1"/>
  <c r="G51" i="2"/>
  <c r="D104" i="2"/>
  <c r="C27" i="10"/>
  <c r="C28" i="10"/>
  <c r="D23" i="10"/>
  <c r="G4" i="14"/>
  <c r="H4" i="14"/>
  <c r="I4" i="14"/>
  <c r="L546" i="1"/>
  <c r="J626" i="1"/>
  <c r="F104" i="2"/>
  <c r="B14" i="16"/>
  <c r="B22" i="16"/>
  <c r="E33" i="13"/>
  <c r="D35" i="13"/>
  <c r="J648" i="1"/>
  <c r="L258" i="1"/>
  <c r="L272" i="1"/>
  <c r="G633" i="1"/>
  <c r="J633" i="1"/>
  <c r="C115" i="2"/>
  <c r="C63" i="2"/>
  <c r="C104" i="2"/>
  <c r="G33" i="13"/>
  <c r="C128" i="2"/>
  <c r="D31" i="13"/>
  <c r="C31" i="13"/>
  <c r="I462" i="1"/>
  <c r="H643" i="1"/>
  <c r="J643" i="1"/>
  <c r="G661" i="1"/>
  <c r="G665" i="1"/>
  <c r="G673" i="1"/>
  <c r="C5" i="10"/>
  <c r="C25" i="13"/>
  <c r="I33" i="13"/>
  <c r="C51" i="2"/>
  <c r="G632" i="1"/>
  <c r="J632" i="1"/>
  <c r="G194" i="1"/>
  <c r="G629" i="1"/>
  <c r="J629" i="1"/>
  <c r="G627" i="1"/>
  <c r="J627" i="1"/>
  <c r="J52" i="1"/>
  <c r="H622" i="1"/>
  <c r="J622" i="1"/>
  <c r="C38" i="10"/>
  <c r="H673" i="1"/>
  <c r="C6" i="10"/>
  <c r="F673" i="1"/>
  <c r="C4" i="10" s="1"/>
  <c r="I661" i="1"/>
  <c r="I665" i="1"/>
  <c r="I673" i="1"/>
  <c r="C7" i="10" s="1"/>
  <c r="G668" i="1"/>
  <c r="D25" i="10"/>
  <c r="D22" i="10"/>
  <c r="D18" i="10"/>
  <c r="D27" i="10"/>
  <c r="D15" i="10"/>
  <c r="D21" i="10"/>
  <c r="D24" i="10"/>
  <c r="D20" i="10"/>
  <c r="D11" i="10"/>
  <c r="D12" i="10"/>
  <c r="D13" i="10"/>
  <c r="D17" i="10"/>
  <c r="D19" i="10"/>
  <c r="D10" i="10"/>
  <c r="D26" i="10"/>
  <c r="C30" i="10"/>
  <c r="D16" i="10"/>
  <c r="D33" i="13"/>
  <c r="D36" i="13"/>
  <c r="I668" i="1"/>
  <c r="D28" i="10"/>
  <c r="H402" i="1"/>
  <c r="H409" i="1"/>
  <c r="H645" i="1"/>
  <c r="J645" i="1"/>
  <c r="L400" i="1"/>
  <c r="L402" i="1"/>
  <c r="L409" i="1"/>
  <c r="C139" i="2"/>
  <c r="G638" i="1"/>
  <c r="H647" i="1"/>
  <c r="J647" i="1"/>
  <c r="C141" i="2"/>
  <c r="C144" i="2"/>
  <c r="C145" i="2"/>
  <c r="J638" i="1"/>
  <c r="F553" i="1" l="1"/>
  <c r="K552" i="1"/>
  <c r="K553" i="1" s="1"/>
  <c r="H194" i="1"/>
  <c r="G630" i="1" s="1"/>
  <c r="C39" i="10"/>
  <c r="C41" i="10" l="1"/>
  <c r="D39" i="10"/>
  <c r="H657" i="1"/>
  <c r="J630" i="1"/>
  <c r="D40" i="10" l="1"/>
  <c r="D37" i="10"/>
  <c r="D38" i="10"/>
  <c r="D36" i="10"/>
  <c r="D35" i="10"/>
  <c r="D41" i="10" l="1"/>
</calcChain>
</file>

<file path=xl/comments1.xml><?xml version="1.0" encoding="utf-8"?>
<comments xmlns="http://schemas.openxmlformats.org/spreadsheetml/2006/main">
  <authors>
    <author>Ron  Leclerc</author>
  </authors>
  <commentList>
    <comment ref="F57" authorId="0" shapeId="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rgb="FF000000"/>
            <rFont val="Tahoma"/>
            <family val="2"/>
          </rPr>
          <t xml:space="preserve">Only report that amount raise from the Statewide Property  Tax.
</t>
        </r>
        <r>
          <rPr>
            <sz val="8"/>
            <color rgb="FF000000"/>
            <rFont val="Tahoma"/>
            <family val="2"/>
          </rPr>
          <t xml:space="preserve">
</t>
        </r>
      </text>
    </comment>
    <comment ref="G132" authorId="0" shapeId="0">
      <text>
        <r>
          <rPr>
            <sz val="8"/>
            <color rgb="FF000000"/>
            <rFont val="Tahoma"/>
            <family val="2"/>
          </rPr>
          <t xml:space="preserve">Only report the state’s share of the revenue on this page.  Do not lump sum the state and federal revenues.
</t>
        </r>
        <r>
          <rPr>
            <sz val="8"/>
            <color rgb="FF000000"/>
            <rFont val="Tahoma"/>
            <family val="2"/>
          </rPr>
          <t xml:space="preserve">
</t>
        </r>
      </text>
    </comment>
    <comment ref="G158" authorId="0" shapeId="0">
      <text>
        <r>
          <rPr>
            <sz val="8"/>
            <color rgb="FF000000"/>
            <rFont val="Tahoma"/>
            <family val="2"/>
          </rPr>
          <t xml:space="preserve">Only report the federal share of the revenue on this page.  Do not lump sum the 
</t>
        </r>
        <r>
          <rPr>
            <sz val="8"/>
            <color rgb="FF000000"/>
            <rFont val="Tahoma"/>
            <family val="2"/>
          </rPr>
          <t xml:space="preserve"> federal and state revenues. 
</t>
        </r>
        <r>
          <rPr>
            <sz val="8"/>
            <color rgb="FF000000"/>
            <rFont val="Tahoma"/>
            <family val="2"/>
          </rPr>
          <t xml:space="preserve">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<sst xmlns="http://schemas.openxmlformats.org/spreadsheetml/2006/main" count="5556" uniqueCount="1645">
  <si>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</si>
  <si>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</si>
  <si>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</si>
  <si>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</si>
  <si>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</si>
  <si>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</si>
  <si>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</si>
  <si>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</si>
  <si>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</si>
  <si>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</si>
  <si>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</si>
  <si>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</si>
  <si>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</si>
  <si>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</si>
  <si>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</si>
  <si>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</si>
  <si>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</si>
  <si>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</si>
  <si>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</si>
  <si>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</si>
  <si>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</si>
  <si>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</si>
  <si>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</si>
  <si>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</si>
  <si>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</si>
  <si>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</si>
  <si>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</si>
  <si>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</si>
  <si>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</si>
  <si>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</si>
  <si>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</si>
  <si>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</si>
  <si>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</si>
  <si>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</si>
  <si>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</si>
  <si>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</si>
  <si>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</si>
  <si>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</si>
  <si>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</si>
  <si>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</si>
  <si>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</si>
  <si>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</si>
  <si>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</si>
  <si>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</si>
  <si>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</si>
  <si>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</si>
  <si>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</si>
  <si>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</si>
  <si>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</si>
  <si>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</si>
  <si>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</si>
  <si>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</si>
  <si>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</si>
  <si>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</si>
  <si>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</si>
  <si>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</si>
  <si>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</si>
  <si>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</si>
  <si>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</si>
  <si>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</si>
  <si>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</si>
  <si>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</si>
  <si>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</si>
  <si>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</si>
  <si>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</si>
  <si>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</si>
  <si>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</si>
  <si>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</si>
  <si>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</si>
  <si>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</si>
  <si>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</si>
  <si>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</si>
  <si>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</si>
  <si>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</si>
  <si>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</si>
  <si>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</si>
  <si>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</si>
  <si>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</si>
  <si>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</si>
  <si>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</si>
  <si>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</si>
  <si>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</si>
  <si>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</si>
  <si>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</si>
  <si>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</si>
  <si>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</si>
  <si>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</si>
  <si>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</si>
  <si>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</si>
  <si>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</si>
  <si>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</si>
  <si>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</si>
  <si>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</si>
  <si>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</si>
  <si>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</si>
  <si>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</si>
  <si>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</si>
  <si>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</si>
  <si>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</si>
  <si>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</si>
  <si>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</si>
  <si>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</si>
  <si>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</si>
  <si>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</si>
  <si>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</si>
  <si>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</si>
  <si>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</si>
  <si>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</si>
  <si>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</si>
  <si>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</si>
  <si>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</si>
  <si>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</si>
  <si>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</si>
  <si>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</si>
  <si>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</si>
  <si>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</si>
  <si>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</si>
  <si>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</si>
  <si>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</si>
  <si>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</si>
  <si>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</si>
  <si>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</si>
  <si>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</si>
  <si>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</si>
  <si>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</si>
  <si>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</si>
  <si>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</si>
  <si>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</si>
  <si>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</si>
  <si>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</si>
  <si>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</si>
  <si>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</si>
  <si>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</si>
  <si>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</si>
  <si>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</si>
  <si>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</si>
  <si>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</si>
  <si>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</si>
  <si>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</si>
  <si>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</si>
  <si>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</si>
  <si>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</si>
  <si>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</si>
  <si>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</si>
  <si>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</si>
  <si>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</si>
  <si>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</si>
  <si>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</si>
  <si>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</si>
  <si>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</si>
  <si>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</si>
  <si>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</si>
  <si>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</si>
  <si>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</si>
  <si>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</si>
  <si>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</si>
  <si>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</si>
  <si>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</si>
  <si>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</si>
  <si>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</si>
  <si>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</si>
  <si>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</si>
  <si>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</si>
  <si>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</si>
  <si>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</si>
  <si>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</si>
  <si>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</si>
  <si>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</si>
  <si>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</si>
  <si>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</si>
  <si>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</si>
  <si>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</si>
  <si>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</si>
  <si>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</si>
  <si>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</si>
  <si>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</si>
  <si>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</si>
  <si>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</si>
  <si>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</si>
  <si>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</si>
  <si>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</si>
  <si>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</si>
  <si>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</si>
  <si>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</si>
  <si>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</si>
  <si>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</si>
  <si>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</si>
  <si>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</si>
  <si>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</si>
  <si>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</si>
  <si>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</si>
  <si>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</si>
  <si>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</si>
  <si>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</si>
  <si>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</si>
  <si>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</si>
  <si>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</si>
  <si>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</si>
  <si>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</si>
  <si>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</si>
  <si>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</si>
  <si>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</si>
  <si>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</si>
  <si>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</si>
  <si>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</si>
  <si>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</si>
  <si>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</si>
  <si>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</si>
  <si>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</si>
  <si>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</si>
  <si>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</si>
  <si>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</si>
  <si>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</si>
  <si>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</si>
  <si>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</si>
  <si>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</si>
  <si>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</si>
  <si>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</si>
  <si>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</si>
  <si>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</si>
  <si>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</si>
  <si>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</si>
  <si>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</si>
  <si>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</si>
  <si>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</si>
  <si>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</si>
  <si>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</si>
  <si>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</si>
  <si>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</si>
  <si>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</si>
  <si>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</si>
  <si>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</si>
  <si>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</si>
  <si>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</si>
  <si>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</si>
  <si>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</si>
  <si>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</si>
  <si>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</si>
  <si>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</si>
  <si>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</si>
  <si>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</si>
  <si>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</si>
  <si>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</si>
  <si>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</si>
  <si>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</si>
  <si>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</si>
  <si>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</si>
  <si>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</si>
  <si>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</si>
  <si>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</si>
  <si>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</si>
  <si>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</si>
  <si>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</si>
  <si>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</si>
  <si>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</si>
  <si>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</si>
  <si>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</si>
  <si>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</si>
  <si>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</si>
  <si>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</si>
  <si>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</si>
  <si>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</si>
  <si>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</si>
  <si>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</si>
  <si>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</si>
  <si>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</si>
  <si>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</si>
  <si>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</si>
  <si>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</si>
  <si>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</si>
  <si>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</si>
  <si>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</si>
  <si>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</si>
  <si>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</si>
  <si>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</si>
  <si>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</si>
  <si>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</si>
  <si>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</si>
  <si>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</si>
  <si>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</si>
  <si>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</si>
  <si>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</si>
  <si>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</si>
  <si>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</si>
  <si>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</si>
  <si>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</si>
  <si>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</si>
  <si>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</si>
  <si>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</si>
  <si>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</si>
  <si>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</si>
  <si>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</si>
  <si>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</si>
  <si>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</si>
  <si>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</si>
  <si>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</si>
  <si>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</si>
  <si>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</si>
  <si>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</si>
  <si>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</si>
  <si>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</si>
  <si>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</si>
  <si>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</si>
  <si>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</si>
  <si>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</si>
  <si>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</si>
  <si>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</si>
  <si>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</si>
  <si>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</si>
  <si>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</si>
  <si>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</si>
  <si>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</si>
  <si>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</si>
  <si>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</si>
  <si>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</si>
  <si>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</si>
  <si>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</si>
  <si>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</si>
  <si>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</si>
  <si>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</si>
  <si>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</si>
  <si>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</si>
  <si>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</si>
  <si>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</si>
  <si>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</si>
  <si>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</si>
  <si>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</si>
  <si>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</si>
  <si>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</si>
  <si>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</si>
  <si>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</si>
  <si>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</si>
  <si>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</si>
  <si>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</si>
  <si>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</si>
  <si>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</si>
  <si>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</si>
  <si>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</si>
  <si>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</si>
  <si>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</si>
  <si>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</si>
  <si>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</si>
  <si>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</si>
  <si>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</si>
  <si>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</si>
  <si>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</si>
  <si>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</si>
  <si>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</si>
  <si>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</si>
  <si>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</si>
  <si>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</si>
  <si>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</si>
  <si>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</si>
  <si>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</si>
  <si>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</si>
  <si>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</si>
  <si>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</si>
  <si>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</si>
  <si>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</si>
  <si>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</si>
  <si>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</si>
  <si>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</si>
  <si>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</si>
  <si>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</si>
  <si>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</si>
  <si>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</si>
  <si>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</si>
  <si>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</si>
  <si>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</si>
  <si>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</si>
  <si>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</si>
  <si>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</si>
  <si>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</si>
  <si>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</si>
  <si>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</si>
  <si>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</si>
  <si>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</si>
  <si>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</si>
  <si>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</si>
  <si>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</si>
  <si>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</si>
  <si>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</si>
  <si>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</si>
  <si>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</si>
  <si>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</si>
  <si>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</si>
  <si>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</si>
  <si>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</si>
  <si>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</si>
  <si>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</si>
  <si>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</si>
  <si>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</si>
  <si>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</si>
  <si>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</si>
  <si>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</si>
  <si>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</si>
  <si>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</si>
  <si>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</si>
  <si>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</si>
  <si>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</si>
  <si>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</si>
  <si>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</si>
  <si>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</si>
  <si>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</si>
  <si>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</si>
  <si>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</si>
  <si>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</si>
  <si>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</si>
  <si>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</si>
  <si>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</si>
  <si>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</si>
  <si>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</si>
  <si>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</si>
  <si>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</si>
  <si>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</si>
  <si>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</si>
  <si>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</si>
  <si>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</si>
  <si>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</si>
  <si>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</si>
  <si>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</si>
  <si>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</si>
  <si>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</si>
  <si>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</si>
  <si>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</si>
  <si>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</si>
  <si>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</si>
  <si>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</si>
  <si>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</si>
  <si>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</si>
  <si>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</si>
  <si>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</si>
  <si>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</si>
  <si>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</si>
  <si>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</si>
  <si>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</si>
  <si>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</si>
  <si>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</si>
  <si>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</si>
  <si>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</si>
  <si>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</si>
  <si>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</si>
  <si>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</si>
  <si>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</si>
  <si>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</si>
  <si>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</si>
  <si>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</si>
  <si>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</si>
  <si>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</si>
  <si>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</si>
  <si>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</si>
  <si>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</si>
  <si>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</si>
  <si>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</si>
  <si>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</si>
  <si>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</si>
  <si>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</si>
  <si>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</si>
  <si>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</si>
  <si>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</si>
  <si>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</si>
  <si>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</si>
  <si>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</si>
  <si>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</si>
  <si>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</si>
  <si>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</si>
  <si>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</si>
  <si>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</si>
  <si>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</si>
  <si>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</si>
  <si>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</si>
  <si>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</si>
  <si>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</si>
  <si>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</si>
  <si>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</si>
  <si>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</si>
  <si>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</si>
  <si>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</si>
  <si>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</si>
  <si>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</si>
  <si>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</si>
  <si>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</si>
  <si>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</si>
  <si>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</si>
  <si>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</si>
  <si>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</si>
  <si>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</si>
  <si>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</si>
  <si>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</si>
  <si>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</si>
  <si>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</si>
  <si>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</si>
  <si>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</si>
  <si>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</si>
  <si>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</si>
  <si>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</si>
  <si>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</si>
  <si>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</si>
  <si>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</si>
  <si>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</si>
  <si>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</si>
  <si>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</si>
  <si>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</si>
  <si>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</si>
  <si>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</si>
  <si>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</si>
  <si>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</si>
  <si>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</si>
  <si>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</si>
  <si>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</si>
  <si>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</si>
  <si>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</si>
  <si>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</si>
  <si>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</si>
  <si>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</si>
  <si>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</si>
  <si>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</si>
  <si>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</si>
  <si>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</si>
  <si>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</si>
  <si>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</si>
  <si>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</si>
  <si>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</si>
  <si>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</si>
  <si>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</si>
  <si>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</si>
  <si>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</si>
  <si>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</si>
  <si>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</si>
  <si>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</si>
  <si>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</si>
  <si>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</si>
  <si>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</si>
  <si>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</si>
  <si>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</si>
  <si>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</si>
  <si>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</si>
  <si>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</si>
  <si>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</si>
  <si>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</si>
  <si>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</si>
  <si>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</si>
  <si>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</si>
  <si>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</si>
  <si>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</si>
  <si>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</si>
  <si>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</si>
  <si>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</si>
  <si>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</si>
  <si>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</si>
  <si>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</si>
  <si>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</si>
  <si>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</si>
  <si>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</si>
  <si>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</si>
  <si>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</si>
  <si>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</si>
  <si>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</si>
  <si>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</si>
  <si>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</si>
  <si>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</si>
  <si>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</si>
  <si>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</si>
  <si>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</si>
  <si>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</si>
  <si>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</si>
  <si>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</si>
  <si>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</si>
  <si>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</si>
  <si>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</si>
  <si>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</si>
  <si>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</si>
  <si>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</si>
  <si>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</si>
  <si>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</si>
  <si>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</si>
  <si>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</si>
  <si>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</si>
  <si>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</si>
  <si>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</si>
  <si>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</si>
  <si>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</si>
  <si>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</si>
  <si>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</si>
  <si>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</si>
  <si>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</si>
  <si>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</si>
  <si>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</si>
  <si>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</si>
  <si>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</si>
  <si>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</si>
  <si>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</si>
  <si>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</si>
  <si>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</si>
  <si>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</si>
  <si>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</si>
  <si>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</si>
  <si>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</si>
  <si>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</si>
  <si>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</si>
  <si>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</si>
  <si>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</si>
  <si>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</si>
  <si>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</si>
  <si>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</si>
  <si>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</si>
  <si>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</si>
  <si>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</si>
  <si>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</si>
  <si>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</si>
  <si>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</si>
  <si>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</si>
  <si>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</si>
  <si>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</si>
  <si>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</si>
  <si>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</si>
  <si>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</si>
  <si>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</si>
  <si>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</si>
  <si>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</si>
  <si>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</si>
  <si>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</si>
  <si>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</si>
  <si>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</si>
  <si>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</si>
  <si>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</si>
  <si>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</si>
  <si>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</si>
  <si>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</si>
  <si>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</si>
  <si>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</si>
  <si>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</si>
  <si>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</si>
  <si>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</si>
  <si>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</si>
  <si>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</si>
  <si>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</si>
  <si>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</si>
  <si>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</si>
  <si>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</si>
  <si>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</si>
  <si>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</si>
  <si>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</si>
  <si>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</si>
  <si>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</si>
  <si>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</si>
  <si>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</si>
  <si>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</si>
  <si>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</si>
  <si>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</si>
  <si>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</si>
  <si>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</si>
  <si>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</si>
  <si>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</si>
  <si>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</si>
  <si>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</si>
  <si>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</si>
  <si>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</si>
  <si>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</si>
  <si>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</si>
  <si>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</si>
  <si>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</si>
  <si>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</si>
  <si>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</si>
  <si>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</si>
  <si>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</si>
  <si>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</si>
  <si>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</si>
  <si>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</si>
  <si>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</si>
  <si>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</si>
  <si>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</si>
  <si>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</si>
  <si>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</si>
  <si>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</si>
  <si>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</si>
  <si>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</si>
  <si>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</si>
  <si>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</si>
  <si>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</si>
  <si>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</si>
  <si>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</si>
  <si>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</si>
  <si>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</si>
  <si>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</si>
  <si>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</si>
  <si>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</si>
  <si>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</si>
  <si>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</si>
  <si>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</si>
  <si>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</si>
  <si>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</si>
  <si>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</si>
  <si>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</si>
  <si>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</si>
  <si>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</si>
  <si>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</si>
  <si>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</si>
  <si>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</si>
  <si>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</si>
  <si>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</si>
  <si>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</si>
  <si>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</si>
  <si>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</si>
  <si>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</si>
  <si>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</si>
  <si>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</si>
  <si>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</si>
  <si>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</si>
  <si>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</si>
  <si>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</si>
  <si>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</si>
  <si>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</si>
  <si>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</si>
  <si>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</si>
  <si>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</si>
  <si>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</si>
  <si>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</si>
  <si>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</si>
  <si>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</si>
  <si>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</si>
  <si>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</si>
  <si>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</si>
  <si>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</si>
  <si>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</si>
  <si>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</si>
  <si>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</si>
  <si>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</si>
  <si>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</si>
  <si>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</si>
  <si>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</si>
  <si>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</si>
  <si>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</si>
  <si>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</si>
  <si>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</si>
  <si>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</si>
  <si>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</si>
  <si>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</si>
  <si>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</si>
  <si>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</si>
  <si>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</si>
  <si>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</si>
  <si>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</si>
  <si>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</si>
  <si>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</si>
  <si>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</si>
  <si>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</si>
  <si>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</si>
  <si>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</si>
  <si>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</si>
  <si>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</si>
  <si>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</si>
  <si>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</si>
  <si>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</si>
  <si>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</si>
  <si>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</si>
  <si>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</si>
  <si>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</si>
  <si>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</si>
  <si>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</si>
  <si>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</si>
  <si>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</si>
  <si>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</si>
  <si>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</si>
  <si>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</si>
  <si>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</si>
  <si>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</si>
  <si>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</si>
  <si>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</si>
  <si>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</si>
  <si>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</si>
  <si>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</si>
  <si>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</si>
  <si>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</si>
  <si>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</si>
  <si>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</si>
  <si>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</si>
  <si>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</si>
  <si>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</si>
  <si>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</si>
  <si>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</si>
  <si>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</si>
  <si>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</si>
  <si>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</si>
  <si>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</si>
  <si>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</si>
  <si>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</si>
  <si>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</si>
  <si>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</si>
  <si>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</si>
  <si>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</si>
  <si>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</si>
  <si>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</si>
  <si>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</si>
  <si>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</si>
  <si>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</si>
  <si>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</si>
  <si>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</si>
  <si>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</si>
  <si>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</si>
  <si>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</si>
  <si>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</si>
  <si>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</si>
  <si>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</si>
  <si>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</si>
  <si>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</si>
  <si>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</si>
  <si>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</si>
  <si>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</si>
  <si>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</si>
  <si>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</si>
  <si>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</si>
  <si>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</si>
  <si>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</si>
  <si>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</si>
  <si>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</si>
  <si>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</si>
  <si>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</si>
  <si>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</si>
  <si>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</si>
  <si>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</si>
  <si>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</si>
  <si>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</si>
  <si>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</si>
  <si>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</si>
  <si>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</si>
  <si>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</si>
  <si>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</si>
  <si>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</si>
  <si>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</si>
  <si>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</si>
  <si>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</si>
  <si>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</si>
  <si>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</si>
  <si>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</si>
  <si>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</si>
  <si>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</si>
  <si>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</si>
  <si>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</si>
  <si>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</si>
  <si>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</si>
  <si>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</si>
  <si>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</si>
  <si>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</si>
  <si>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</si>
  <si>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</si>
  <si>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</si>
  <si>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</si>
  <si>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</si>
  <si>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</si>
  <si>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</si>
  <si>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</si>
  <si>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</si>
  <si>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</si>
  <si>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</si>
  <si>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</si>
  <si>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</si>
  <si>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</si>
  <si>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</si>
  <si>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</si>
  <si>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</si>
  <si>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</si>
  <si>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</si>
  <si>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</si>
  <si>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</si>
  <si>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</si>
  <si>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</si>
  <si>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</si>
  <si>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</si>
  <si>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</si>
  <si>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</si>
  <si>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</si>
  <si>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</si>
  <si>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</si>
  <si>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</si>
  <si>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</si>
  <si>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</si>
  <si>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</si>
  <si>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</si>
  <si>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</si>
  <si>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</si>
  <si>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</si>
  <si>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</si>
  <si>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</si>
  <si>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</si>
  <si>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</si>
  <si>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</si>
  <si>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</si>
  <si>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</si>
  <si>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</si>
  <si>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</si>
  <si>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</si>
  <si>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</si>
  <si>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</si>
  <si>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</si>
  <si>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</si>
  <si>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</si>
  <si>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</si>
  <si>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</si>
  <si>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</si>
  <si>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</si>
  <si>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</si>
  <si>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</si>
  <si>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</si>
  <si>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</si>
  <si>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</si>
  <si>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</si>
  <si>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</si>
  <si>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</si>
  <si>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</si>
  <si>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</si>
  <si>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</si>
  <si>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</si>
  <si>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</si>
  <si>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</si>
  <si>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</si>
  <si>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</si>
  <si>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</si>
  <si>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</si>
  <si>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</si>
  <si>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</si>
  <si>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</si>
  <si>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</si>
  <si>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</si>
  <si>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</si>
  <si>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</si>
  <si>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</si>
  <si>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</si>
  <si>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</si>
  <si>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</si>
  <si>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</si>
  <si>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</si>
  <si>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</si>
  <si>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</si>
  <si>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</si>
  <si>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</si>
  <si>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</si>
  <si>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</si>
  <si>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</si>
  <si>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</si>
  <si>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</si>
  <si>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</si>
  <si>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</si>
  <si>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</si>
  <si>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</si>
  <si>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</si>
  <si>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</si>
  <si>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</si>
  <si>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</si>
  <si>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</si>
  <si>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</si>
  <si>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</si>
  <si>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</si>
  <si>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</si>
  <si>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</si>
  <si>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</si>
  <si>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</si>
  <si>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</si>
  <si>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</si>
  <si>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</si>
  <si>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</si>
  <si>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</si>
  <si>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</si>
  <si>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</si>
  <si>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</si>
  <si>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</si>
  <si>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</si>
  <si>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</si>
  <si>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</si>
  <si>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</si>
  <si>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</si>
  <si>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</si>
  <si>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</si>
  <si>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</si>
  <si>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</si>
  <si>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</si>
  <si>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</si>
  <si>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</si>
  <si>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</si>
  <si>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</si>
  <si>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</si>
  <si>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</si>
  <si>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</si>
  <si>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</si>
  <si>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</si>
  <si>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</si>
  <si>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</si>
  <si>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</si>
  <si>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</si>
  <si>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</si>
  <si>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</si>
  <si>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</si>
  <si>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</si>
  <si>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</si>
  <si>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</si>
  <si>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</si>
  <si>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</si>
  <si>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</si>
  <si>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</si>
  <si>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</si>
  <si>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</si>
  <si>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</si>
  <si>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</si>
  <si>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</si>
  <si>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</si>
  <si>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</si>
  <si>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</si>
  <si>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</si>
  <si>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</si>
  <si>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</si>
  <si>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</si>
  <si>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</si>
  <si>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</si>
  <si>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</si>
  <si>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</si>
  <si>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</si>
  <si>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</si>
  <si>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</si>
  <si>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</si>
  <si>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</si>
  <si>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</si>
  <si>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</si>
  <si>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</si>
  <si>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</si>
  <si>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</si>
  <si>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</si>
  <si>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</si>
  <si>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</si>
  <si>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</si>
  <si>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</si>
  <si>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</si>
  <si>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</si>
  <si>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</si>
  <si>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</si>
  <si>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</si>
  <si>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</si>
  <si>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</si>
  <si>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</si>
  <si>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</si>
  <si>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</si>
  <si>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</si>
  <si>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</si>
  <si>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</si>
  <si>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</si>
  <si>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</si>
  <si>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</si>
  <si>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</si>
  <si>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</si>
  <si>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</si>
  <si>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</si>
  <si>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</si>
  <si>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</si>
  <si>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</si>
  <si>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</si>
  <si>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</si>
  <si>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</si>
  <si>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</si>
  <si>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</si>
  <si>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</si>
  <si>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</si>
  <si>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</si>
  <si>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</si>
  <si>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</si>
  <si>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</si>
  <si>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</si>
  <si>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</si>
  <si>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</si>
  <si>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</si>
  <si>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</si>
  <si>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</si>
  <si>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</si>
  <si>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</si>
  <si>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</si>
  <si>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</si>
  <si>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</si>
  <si>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</si>
  <si>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</si>
  <si>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</si>
  <si>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</si>
  <si>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</si>
  <si>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</si>
  <si>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</si>
  <si>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</si>
  <si>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</si>
  <si>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</si>
  <si>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</si>
  <si>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</si>
  <si>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</si>
  <si>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</si>
  <si>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</si>
  <si>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</si>
  <si>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</si>
  <si>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</si>
  <si>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</si>
  <si>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</si>
  <si>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</si>
  <si>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</si>
  <si>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</si>
  <si>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</si>
  <si>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</si>
  <si>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</si>
  <si>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</si>
  <si>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</si>
  <si>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</si>
  <si>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</si>
  <si>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</si>
  <si>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</si>
  <si>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</si>
  <si>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</si>
  <si>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</si>
  <si>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</si>
  <si>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</si>
  <si>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</si>
  <si>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</si>
  <si>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</si>
  <si>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</si>
  <si>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</si>
  <si>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</si>
  <si>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</si>
  <si>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</si>
  <si>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</si>
  <si>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</si>
  <si>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</si>
  <si>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</si>
  <si>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</si>
  <si>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</si>
  <si>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</si>
  <si>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</si>
  <si>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</si>
  <si>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</si>
  <si>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</si>
  <si>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</si>
  <si>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</si>
  <si>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</si>
  <si>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</si>
  <si>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</si>
  <si>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</si>
  <si>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</si>
  <si>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</si>
  <si>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</si>
  <si>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</si>
  <si>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</si>
  <si>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</si>
  <si>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</si>
  <si>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</si>
  <si>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</si>
  <si>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</si>
  <si>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</si>
  <si>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</si>
  <si>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</si>
  <si>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</si>
  <si>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</si>
  <si>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</si>
  <si>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</si>
  <si>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</si>
  <si>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</si>
  <si>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</si>
  <si>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</si>
  <si>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</si>
  <si>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</si>
  <si>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</si>
  <si>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</si>
  <si>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</si>
  <si>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</si>
  <si>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</si>
  <si>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</si>
  <si>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</si>
  <si>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</si>
  <si>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</si>
  <si>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</si>
  <si>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</si>
  <si>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</si>
  <si>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</si>
  <si>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</si>
  <si>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</si>
  <si>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</si>
  <si>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</si>
  <si>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</si>
  <si>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</si>
  <si>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</si>
  <si>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</si>
  <si>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</si>
  <si>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</si>
  <si>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</si>
  <si>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</si>
  <si>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</si>
  <si>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</si>
  <si>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</si>
  <si>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</si>
  <si>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</si>
  <si>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</si>
  <si>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</si>
  <si>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</si>
  <si>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</si>
  <si>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</si>
  <si>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</si>
  <si>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</si>
  <si>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</si>
  <si>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</si>
  <si>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</si>
  <si>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</si>
  <si>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</si>
  <si>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</si>
  <si>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</si>
  <si>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</si>
  <si>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</si>
  <si>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</si>
  <si>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</si>
  <si>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</si>
  <si>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</si>
  <si>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</si>
  <si>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</si>
  <si>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</si>
  <si>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</si>
  <si>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</si>
  <si>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</si>
  <si>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</si>
  <si>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</si>
  <si>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</si>
  <si>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</si>
  <si>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</si>
  <si>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</si>
  <si>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</si>
  <si>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</si>
  <si>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</si>
  <si>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</si>
  <si>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</si>
  <si>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</si>
  <si>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</si>
  <si>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</si>
  <si>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</si>
  <si>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</si>
  <si>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</si>
  <si>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</si>
  <si>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</si>
  <si>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</si>
  <si>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</si>
  <si>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</si>
  <si>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</si>
  <si>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</si>
  <si>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</si>
  <si>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</si>
  <si>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</si>
  <si>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</si>
  <si>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</si>
  <si>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</si>
  <si>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</si>
  <si>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</si>
  <si>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</si>
  <si>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</si>
  <si>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</si>
  <si>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</si>
  <si>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</si>
  <si>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</si>
  <si>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</si>
  <si>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</si>
  <si>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</si>
  <si>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</si>
  <si>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</si>
  <si>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</si>
  <si>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</si>
  <si>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</si>
  <si>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</si>
  <si>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</si>
  <si>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</si>
  <si>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</si>
  <si>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</si>
  <si>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</si>
  <si>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</si>
  <si>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</si>
  <si>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</si>
  <si>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</si>
  <si>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</si>
  <si>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</si>
  <si>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</si>
  <si>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</si>
  <si>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</si>
  <si>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</si>
  <si>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</si>
  <si>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</si>
  <si>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</si>
  <si>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</si>
  <si>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</si>
  <si>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</si>
  <si>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</si>
  <si>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</si>
  <si>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</si>
  <si>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</si>
  <si>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</si>
  <si>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</si>
  <si>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</si>
  <si>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</si>
  <si>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</si>
  <si>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</si>
  <si>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</si>
  <si>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</si>
  <si>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</si>
  <si>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</si>
  <si>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</si>
  <si>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</si>
  <si>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</si>
  <si>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</si>
  <si>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</si>
  <si>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</si>
  <si>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</si>
  <si>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</si>
  <si>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</si>
  <si>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</si>
  <si>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</si>
  <si>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</si>
  <si>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</si>
  <si>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</si>
  <si>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</si>
  <si>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</si>
  <si>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</si>
  <si>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</si>
  <si>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</si>
  <si>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</si>
  <si>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</si>
  <si>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</si>
  <si>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</si>
  <si>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</si>
  <si>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</si>
  <si>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</si>
  <si>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</si>
  <si>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</si>
  <si>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</si>
  <si>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</si>
  <si>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</si>
  <si>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</si>
  <si>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</si>
  <si>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</si>
  <si>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</si>
  <si>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</si>
  <si>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</si>
  <si>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</si>
  <si>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</si>
  <si>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</si>
  <si>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</si>
  <si>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</si>
  <si>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</si>
  <si>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</si>
  <si>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</si>
  <si>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</si>
  <si>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</si>
  <si>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</si>
  <si>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</si>
  <si>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</si>
  <si>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</si>
  <si>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</si>
  <si>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</si>
  <si>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</si>
  <si>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</si>
  <si>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</si>
  <si>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</si>
  <si>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</si>
  <si>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</si>
  <si>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</si>
  <si>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</si>
  <si>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</si>
  <si>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</si>
  <si>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</si>
  <si>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</si>
  <si>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</si>
  <si>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</si>
  <si>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</si>
  <si>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</si>
  <si>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</si>
  <si>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</si>
  <si>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</si>
  <si>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</si>
  <si>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</si>
  <si>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</si>
  <si>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</si>
  <si>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</si>
  <si>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</si>
  <si>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</si>
  <si>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</si>
  <si>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</si>
  <si>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</si>
  <si>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</si>
  <si>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</si>
  <si>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</si>
  <si>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</si>
  <si>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</si>
  <si>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</si>
  <si>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</si>
  <si>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</si>
  <si>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</si>
  <si>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</si>
  <si>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</si>
  <si>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</si>
  <si>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</si>
  <si>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</si>
  <si>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</si>
  <si>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</si>
  <si>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</si>
  <si>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</si>
  <si>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</si>
  <si>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</si>
  <si>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</si>
  <si>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</si>
  <si>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</si>
  <si>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</si>
  <si>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</si>
  <si>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</si>
  <si>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</si>
  <si>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</si>
  <si>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</si>
  <si>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</si>
  <si>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</si>
  <si>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</si>
  <si>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</si>
  <si>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</si>
  <si>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</si>
  <si>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</si>
  <si>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</si>
  <si>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</si>
  <si>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</si>
  <si>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</si>
  <si>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</si>
  <si>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</si>
  <si>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</si>
  <si>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</si>
  <si>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</si>
  <si>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</si>
  <si>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</si>
  <si>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</si>
  <si>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</si>
  <si>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</si>
  <si>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</si>
  <si>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</si>
  <si>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</si>
  <si>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</si>
  <si>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</si>
  <si>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</si>
  <si>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</si>
  <si>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</si>
  <si>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</si>
  <si>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</si>
  <si>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</si>
  <si>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</si>
  <si>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</si>
  <si>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</si>
  <si>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</si>
  <si>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</si>
  <si>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</si>
  <si>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</si>
  <si>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</si>
  <si>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</si>
  <si>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</si>
  <si>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</si>
  <si>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</si>
  <si>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</si>
  <si>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</si>
  <si>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</si>
  <si>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</si>
  <si>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</si>
  <si>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</si>
  <si>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</si>
  <si>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</si>
  <si>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</si>
  <si>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</si>
  <si>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</si>
  <si>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</si>
  <si>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</si>
  <si>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</si>
  <si>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</si>
  <si>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</si>
  <si>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</si>
  <si>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</si>
  <si>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</si>
  <si>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</si>
  <si>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</si>
  <si>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</si>
  <si>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</si>
  <si>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</si>
  <si>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</si>
  <si>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</si>
  <si>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</si>
  <si>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</si>
  <si>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</si>
  <si>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</si>
  <si>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</si>
  <si>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</si>
  <si>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</si>
  <si>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</si>
  <si>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</si>
  <si>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</si>
  <si>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</si>
  <si>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</si>
  <si>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</si>
  <si>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</si>
  <si>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</si>
  <si>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</si>
  <si>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</si>
  <si>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</si>
  <si>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</si>
  <si>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</si>
  <si>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</si>
  <si>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</si>
  <si>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</si>
  <si>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</si>
  <si>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</si>
  <si>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</si>
  <si>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</si>
  <si>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</si>
  <si>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</si>
  <si>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</si>
  <si>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</si>
  <si>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</si>
  <si>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</si>
  <si>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</si>
  <si>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</si>
  <si>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</si>
  <si>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</si>
  <si>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</si>
  <si>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</si>
  <si>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</si>
  <si>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</si>
  <si>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</si>
  <si>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</si>
  <si>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</si>
  <si>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</si>
  <si>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</si>
  <si>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</si>
  <si>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</si>
  <si>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</si>
  <si>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</si>
  <si>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</si>
  <si>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</si>
  <si>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</si>
  <si>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</si>
  <si>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</si>
  <si>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</si>
  <si>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</si>
  <si>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</si>
  <si>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</si>
  <si>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</si>
  <si>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</si>
  <si>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</si>
  <si>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</si>
  <si>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</si>
  <si>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</si>
  <si>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</si>
  <si>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</si>
  <si>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</si>
  <si>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</si>
  <si>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</si>
  <si>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</si>
  <si>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</si>
  <si>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</si>
  <si>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</si>
  <si>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</si>
  <si>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</si>
  <si>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</si>
  <si>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</si>
  <si>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</si>
  <si>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</si>
  <si>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</si>
  <si>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</si>
  <si>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</si>
  <si>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</si>
  <si>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</si>
  <si>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</si>
  <si>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</si>
  <si>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</si>
  <si>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</si>
  <si>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</si>
  <si>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</si>
  <si>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</si>
  <si>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</si>
  <si>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</si>
  <si>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</si>
  <si>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</si>
  <si>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</si>
  <si>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</si>
  <si>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</si>
  <si>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</si>
  <si>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</si>
  <si>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</si>
  <si>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</si>
  <si>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</si>
  <si>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</si>
  <si>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</si>
  <si>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</si>
  <si>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</si>
  <si>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</si>
  <si>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</si>
  <si>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</si>
  <si>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</si>
  <si>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</si>
  <si>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</si>
  <si>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</si>
  <si>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</si>
  <si>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</si>
  <si>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</si>
  <si>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</si>
  <si>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</si>
  <si>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</si>
  <si>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</si>
  <si>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</si>
  <si>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</si>
  <si>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</si>
  <si>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</si>
  <si>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</si>
  <si>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</si>
  <si>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</si>
  <si>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</si>
  <si>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</si>
  <si>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</si>
  <si>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</si>
  <si>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</si>
  <si>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</si>
  <si>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</si>
  <si>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</si>
  <si>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</si>
  <si>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</si>
  <si>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</si>
  <si>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</si>
  <si>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</si>
  <si>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</si>
  <si>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</si>
  <si>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</si>
  <si>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</si>
  <si>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</si>
  <si>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</si>
  <si>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</si>
  <si>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</si>
  <si>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</si>
  <si>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</si>
  <si>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</si>
  <si>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</si>
  <si>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</si>
  <si>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</si>
  <si>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</si>
  <si>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</si>
  <si>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</si>
  <si>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</si>
  <si>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</si>
  <si>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</si>
  <si>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</si>
  <si>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12/02</t>
  </si>
  <si>
    <t>10/22</t>
  </si>
  <si>
    <t>Barrington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</si>
</sst>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9"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8"/>
      <color rgb="FF000000"/>
      <name val="Tahoma"/>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9" activePane="bottomRight" state="frozen"/>
      <selection pane="topRight" activeCell="F1" sqref="F1"/>
      <selection pane="bottomLeft" activeCell="A4" sqref="A4"/>
      <selection pane="bottomRight" activeCell="H670" sqref="H670"/>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6.6640625" bestFit="1" customWidth="1"/>
    <col min="6" max="6" width="17" style="20" customWidth="1"/>
    <col min="7" max="8" width="17.1640625" style="20" customWidth="1"/>
    <col min="9" max="9" width="18.66406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1644</v>
      </c>
      <c r="B2" s="21">
        <v>33</v>
      </c>
      <c r="C2" s="21">
        <v>33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1360378.18</f>
        <v>1360378.18</v>
      </c>
      <c r="G9" s="18"/>
      <c r="H9" s="18"/>
      <c r="I9" s="18"/>
      <c r="J9" s="67">
        <f>SUM(I440)</f>
        <v>1558756.84</v>
      </c>
      <c r="K9" s="24" t="s">
        <v>288</v>
      </c>
      <c r="L9" s="24" t="s">
        <v>288</v>
      </c>
      <c r="M9" s="8"/>
      <c r="N9" s="266"/>
    </row>
    <row r="10" spans="1:14" s="3" customFormat="1" ht="12.2" customHeight="1" x14ac:dyDescent="0.15">
      <c r="A10" s="1" t="s">
        <v>562</v>
      </c>
      <c r="B10" s="2" t="s">
        <v>289</v>
      </c>
      <c r="C10" s="6">
        <v>2</v>
      </c>
      <c r="D10" s="2" t="s">
        <v>428</v>
      </c>
      <c r="E10" s="6">
        <v>110</v>
      </c>
      <c r="F10" s="18">
        <v>6964.31</v>
      </c>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303498-0.87</f>
        <v>303497.13</v>
      </c>
      <c r="G12" s="18" t="s">
        <v>286</v>
      </c>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t="s">
        <v>286</v>
      </c>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t="s">
        <v>286</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25277</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1696116.62</v>
      </c>
      <c r="G19" s="41">
        <f>SUM(G9:G18)</f>
        <v>0</v>
      </c>
      <c r="H19" s="41">
        <f>SUM(H9:H18)</f>
        <v>0</v>
      </c>
      <c r="I19" s="41">
        <f>SUM(I9:I18)</f>
        <v>0</v>
      </c>
      <c r="J19" s="41">
        <f>SUM(J9:J18)</f>
        <v>1558756.84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19973</v>
      </c>
      <c r="G22" s="18" t="s">
        <v>286</v>
      </c>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142668</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f>8343</f>
        <v>8343</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26856+48861+79421+5458-83+2537+51+3233</f>
        <v>166334</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6964</v>
      </c>
      <c r="G30" s="18" t="s">
        <v>286</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344282</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25277</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t="s">
        <v>286</v>
      </c>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350000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470880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1558756.84</v>
      </c>
      <c r="K49" s="24"/>
      <c r="L49" s="24"/>
      <c r="M49" s="8"/>
      <c r="N49" s="266"/>
    </row>
    <row r="50" spans="1:14" s="3" customFormat="1" ht="12.2" customHeight="1" thickBot="1" x14ac:dyDescent="0.2">
      <c r="A50" s="29" t="s">
        <v>840</v>
      </c>
      <c r="B50" s="2" t="s">
        <v>289</v>
      </c>
      <c r="C50" s="71">
        <v>35</v>
      </c>
      <c r="D50" s="2" t="s">
        <v>653</v>
      </c>
      <c r="E50" s="6">
        <v>770</v>
      </c>
      <c r="F50" s="18">
        <v>505677.62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1351834.62</v>
      </c>
      <c r="G51" s="41">
        <f>SUM(G35:G50)</f>
        <v>0</v>
      </c>
      <c r="H51" s="41">
        <f>SUM(H35:H50)</f>
        <v>0</v>
      </c>
      <c r="I51" s="41">
        <f>SUM(I35:I50)</f>
        <v>0</v>
      </c>
      <c r="J51" s="41">
        <f>SUM(J35:J50)</f>
        <v>1558756.84</v>
      </c>
      <c r="K51" s="45" t="s">
        <v>288</v>
      </c>
      <c r="L51" s="45" t="s">
        <v>288</v>
      </c>
      <c r="N51" s="264"/>
    </row>
    <row r="52" spans="1:14" s="3" customFormat="1" ht="12.2" customHeight="1" thickTop="1" x14ac:dyDescent="0.15">
      <c r="A52" s="38" t="s">
        <v>455</v>
      </c>
      <c r="B52" s="39" t="s">
        <v>289</v>
      </c>
      <c r="C52" s="6">
        <v>37</v>
      </c>
      <c r="D52" s="39" t="s">
        <v>653</v>
      </c>
      <c r="E52" s="39"/>
      <c r="F52" s="41">
        <f>F51+F32</f>
        <v>1696116.62</v>
      </c>
      <c r="G52" s="41">
        <f>G51+G32</f>
        <v>0</v>
      </c>
      <c r="H52" s="41">
        <f>H51+H32</f>
        <v>0</v>
      </c>
      <c r="I52" s="41">
        <f>I51+I32</f>
        <v>0</v>
      </c>
      <c r="J52" s="41">
        <f>J51+J32</f>
        <v>1558756.84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16704077.960000001</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16704077.960000001</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35883</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7604.78</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43487.78</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v>20889.25</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136680</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238673.98</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238673.98</v>
      </c>
      <c r="G111" s="41">
        <f>SUM(G96:G110)</f>
        <v>136680</v>
      </c>
      <c r="H111" s="41">
        <f>SUM(H96:H110)</f>
        <v>0</v>
      </c>
      <c r="I111" s="41">
        <f>SUM(I96:I110)</f>
        <v>0</v>
      </c>
      <c r="J111" s="41">
        <f>SUM(J96:J110)</f>
        <v>20889.25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16986239.719999999</v>
      </c>
      <c r="G112" s="41">
        <f>G60+G111</f>
        <v>136680</v>
      </c>
      <c r="H112" s="41">
        <f>H60+H79+H94+H111</f>
        <v>0</v>
      </c>
      <c r="I112" s="41">
        <f>I60+I111</f>
        <v>0</v>
      </c>
      <c r="J112" s="41">
        <f>J60+J111</f>
        <v>20889.25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4468694.9800000004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2131126.06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12609.54</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6612430.580000001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231529.28</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201075.82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3880.87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432605.1</v>
      </c>
      <c r="G136" s="41">
        <f>SUM(G123:G135)</f>
        <v>3880.87</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7045035.6800000006</v>
      </c>
      <c r="G140" s="41">
        <f>G121+SUM(G136:G137)</f>
        <v>3880.87</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87074.880000000005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96741.83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59852.13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252612.17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48319</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48319</v>
      </c>
      <c r="G163" s="41">
        <f>SUM(G150:G162)</f>
        <v>59852.13</v>
      </c>
      <c r="H163" s="41">
        <f>SUM(H150:H162)</f>
        <v>436428.88</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48319</v>
      </c>
      <c r="G170" s="41">
        <f>G147+G163+SUM(G164:G169)</f>
        <v>59852.13</v>
      </c>
      <c r="H170" s="41">
        <f>H147+H163+SUM(H164:H169)</f>
        <v>436428.88</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58315</v>
      </c>
      <c r="H180" s="18"/>
      <c r="I180" s="18"/>
      <c r="J180" s="18">
        <v>150000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58315</v>
      </c>
      <c r="H184" s="41">
        <f>SUM(H180:H183)</f>
        <v>0</v>
      </c>
      <c r="I184" s="41">
        <f>SUM(I180:I183)</f>
        <v>0</v>
      </c>
      <c r="J184" s="41">
        <f>SUM(J180:J183)</f>
        <v>150000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58315</v>
      </c>
      <c r="H193" s="41">
        <f>+H184+SUM(H189:H192)</f>
        <v>0</v>
      </c>
      <c r="I193" s="41">
        <f>I178+I184+SUM(I189:I192)</f>
        <v>0</v>
      </c>
      <c r="J193" s="41">
        <f>J184</f>
        <v>150000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24079594.399999999</v>
      </c>
      <c r="G194" s="47">
        <f>G112+G140+G170+G193</f>
        <v>258728</v>
      </c>
      <c r="H194" s="47">
        <f>H112+H140+H170+H193</f>
        <v>436428.88</v>
      </c>
      <c r="I194" s="47">
        <f>I112+I140+I170+I193</f>
        <v>0</v>
      </c>
      <c r="J194" s="47">
        <f>J112+J140+J193</f>
        <v>170889.25</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98082.63+1481428.32+306535.57+998+174999.82+33158.28+12567.7</f>
        <v>2107770.3200000003</v>
      </c>
      <c r="G198" s="18">
        <f>397184.9+117726.75+11131.23+2437.05+897+405+3686.94+1125.95+113698.9+36802.2+263101.81+72133.86+16020.78+43140.21</f>
        <v>1079492.58</v>
      </c>
      <c r="H198" s="18">
        <f>8242.89+3663.69+389+35</f>
        <v>12330.58</v>
      </c>
      <c r="I198" s="18">
        <f>787.18+14509.87+14396.52+1801.71+974.48+10175.5+2792.07+4108.04+12961.62+3703.38+1293.2+1925.43+684.73+515.82+904.5+530.53+500+20680.13+2750.24+1907.37</f>
        <v>97902.319999999992</v>
      </c>
      <c r="J198" s="18"/>
      <c r="K198" s="18"/>
      <c r="L198" s="19">
        <f>SUM(F198:K198)</f>
        <v>3297495.8000000003</v>
      </c>
      <c r="M198" s="8"/>
      <c r="N198" s="266"/>
    </row>
    <row r="199" spans="1:14" s="3" customFormat="1" ht="12.2" customHeight="1" x14ac:dyDescent="0.15">
      <c r="A199" s="1" t="s">
        <v>439</v>
      </c>
      <c r="B199" s="2" t="s">
        <v>341</v>
      </c>
      <c r="C199" s="2" t="s">
        <v>291</v>
      </c>
      <c r="D199" s="2" t="s">
        <v>431</v>
      </c>
      <c r="E199" s="6">
        <v>1200</v>
      </c>
      <c r="F199" s="18">
        <f>13452.25+249852.23+46999.94+363592.53+98328.39+1570+168+607.37+4740+4906.18+9271.99</f>
        <v>793488.88</v>
      </c>
      <c r="G199" s="18">
        <f>180668.32+59223.56+2739.51+855+289.5+1877.06+682.33+2075.75+46387.3+11492.35+277.33+85207.99+15526.78</f>
        <v>407302.78</v>
      </c>
      <c r="H199" s="18">
        <f>40665.36+64072.3+16207.74</f>
        <v>120945.40000000001</v>
      </c>
      <c r="I199" s="18">
        <f>2951.67+2728.28+1168.66+305.55</f>
        <v>7154.1600000000008</v>
      </c>
      <c r="J199" s="18">
        <f>5005+201+5.99+4367+3067</f>
        <v>12645.99</v>
      </c>
      <c r="K199" s="18"/>
      <c r="L199" s="19">
        <f>SUM(F199:K199)</f>
        <v>1341537.21</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97500+28000.05+62697.96+74749.22+125190.33+83829.33+28044.12</f>
        <v>500011.01</v>
      </c>
      <c r="G203" s="18">
        <f>4780.26+999.02+72+257.32+7613.3+17355+3000+72+315.72+2096.12+4689.88+229.5+4984.07+11160.24+33543.24+58465.21+42749.2+10911+36+74.06+1263.08+3132+48</f>
        <v>207846.22</v>
      </c>
      <c r="H203" s="18">
        <f>65+65+16044.89</f>
        <v>16174.89</v>
      </c>
      <c r="I203" s="18">
        <f>116.16+66.96+130.61+804.83+829.42+3689.75+1394.11+835.43</f>
        <v>7867.2699999999995</v>
      </c>
      <c r="J203" s="18">
        <f>522.25+522.25</f>
        <v>1044.5</v>
      </c>
      <c r="K203" s="18">
        <f>4472.12</f>
        <v>4472.12</v>
      </c>
      <c r="L203" s="19">
        <f t="shared" ref="L203:L209" si="0">SUM(F203:K203)</f>
        <v>737416.01</v>
      </c>
      <c r="M203" s="8"/>
      <c r="N203" s="266"/>
    </row>
    <row r="204" spans="1:14" s="3" customFormat="1" ht="12.2" customHeight="1" x14ac:dyDescent="0.15">
      <c r="A204" s="1" t="s">
        <v>443</v>
      </c>
      <c r="B204" s="2" t="s">
        <v>341</v>
      </c>
      <c r="C204" s="2" t="s">
        <v>295</v>
      </c>
      <c r="D204" s="2" t="s">
        <v>431</v>
      </c>
      <c r="E204" s="6">
        <v>2200</v>
      </c>
      <c r="F204" s="18">
        <f>69955.69+56000.1+48882.21</f>
        <v>174838</v>
      </c>
      <c r="G204" s="18">
        <f>18655.76+497.22+36+179.52+4868.24+12038.78+25187.18+2172.2+36+148.5+3973.06+9968.14+17257.31</f>
        <v>95017.909999999989</v>
      </c>
      <c r="H204" s="18">
        <f>60735.97+11803.06-48.16</f>
        <v>72490.87</v>
      </c>
      <c r="I204" s="18">
        <f>551.11+4851.6+3390.51+1293.54+1019.4+4507.63+1154.35</f>
        <v>16768.14</v>
      </c>
      <c r="J204" s="18">
        <f>974+3924.29+149.99+14821.72+14939.32+179+14534.04+1424.3+340.47</f>
        <v>51287.130000000005</v>
      </c>
      <c r="K204" s="18">
        <f>23237.25</f>
        <v>23237.25</v>
      </c>
      <c r="L204" s="19">
        <f t="shared" si="0"/>
        <v>433639.3</v>
      </c>
      <c r="M204" s="8"/>
      <c r="N204" s="266"/>
    </row>
    <row r="205" spans="1:14" s="3" customFormat="1" ht="12.2" customHeight="1" x14ac:dyDescent="0.15">
      <c r="A205" s="1" t="s">
        <v>444</v>
      </c>
      <c r="B205" s="2" t="s">
        <v>341</v>
      </c>
      <c r="C205" s="2" t="s">
        <v>296</v>
      </c>
      <c r="D205" s="2" t="s">
        <v>431</v>
      </c>
      <c r="E205" s="6">
        <v>2300</v>
      </c>
      <c r="F205" s="18">
        <f>(1000+125+700+75+540+186697.16+97593.6+93044.5)/3</f>
        <v>126591.75333333334</v>
      </c>
      <c r="G205" s="18">
        <f>(103.68+110.02+103526.94+6288.76+168+912.95+20786.89+7257.64+36027.49+10901.28)/3</f>
        <v>62027.883333333331</v>
      </c>
      <c r="H205" s="18">
        <f>(15150+50094.12+1579.24+310+75+4261.11+1615.61+828.84+6611.69+2999.99+462.83+2488.02)/3</f>
        <v>28825.483333333337</v>
      </c>
      <c r="I205" s="18">
        <f>(4655.16)/3</f>
        <v>1551.72</v>
      </c>
      <c r="J205" s="18">
        <f>2736/3</f>
        <v>912</v>
      </c>
      <c r="K205" s="18">
        <f>(5705.76+5285.82+4847.76+2396.92)/3</f>
        <v>6078.753333333334</v>
      </c>
      <c r="L205" s="19">
        <f t="shared" si="0"/>
        <v>225987.59333333332</v>
      </c>
      <c r="M205" s="8"/>
      <c r="N205" s="266"/>
    </row>
    <row r="206" spans="1:14" s="3" customFormat="1" ht="12.2" customHeight="1" x14ac:dyDescent="0.15">
      <c r="A206" s="1" t="s">
        <v>445</v>
      </c>
      <c r="B206" s="2" t="s">
        <v>341</v>
      </c>
      <c r="C206" s="2" t="s">
        <v>297</v>
      </c>
      <c r="D206" s="2" t="s">
        <v>431</v>
      </c>
      <c r="E206" s="6">
        <v>2400</v>
      </c>
      <c r="F206" s="18">
        <f>98999.94+85077.98+70000.06+71541.71+37273.2</f>
        <v>362892.89</v>
      </c>
      <c r="G206" s="18">
        <f>47259.61+33602.2+1186.54+1645.21+135+63+594.1+302.82+17144.46+8103.04+38073.29+19307.47</f>
        <v>167416.74</v>
      </c>
      <c r="H206" s="18">
        <f>4994.86+235.6+9040.87+4547.96+1500+499.45+113.4+192.05</f>
        <v>21124.190000000002</v>
      </c>
      <c r="I206" s="18">
        <f>139.69+421.86+283.45</f>
        <v>845</v>
      </c>
      <c r="J206" s="18">
        <f>8574+4815</f>
        <v>13389</v>
      </c>
      <c r="K206" s="18">
        <f>723+859.83</f>
        <v>1582.83</v>
      </c>
      <c r="L206" s="19">
        <f t="shared" si="0"/>
        <v>567250.65</v>
      </c>
      <c r="M206" s="8"/>
      <c r="N206" s="266"/>
    </row>
    <row r="207" spans="1:14" s="3" customFormat="1" ht="12.2" customHeight="1" x14ac:dyDescent="0.15">
      <c r="A207" s="1" t="s">
        <v>446</v>
      </c>
      <c r="B207" s="2" t="s">
        <v>341</v>
      </c>
      <c r="C207" s="2" t="s">
        <v>298</v>
      </c>
      <c r="D207" s="2" t="s">
        <v>431</v>
      </c>
      <c r="E207" s="6">
        <v>2500</v>
      </c>
      <c r="F207" s="18">
        <f>(79483.04+44831.7)/3</f>
        <v>41438.246666666666</v>
      </c>
      <c r="G207" s="18">
        <f>(43842.74+1570.08+72+329.19+9186.43+13885.92)/3</f>
        <v>22962.12</v>
      </c>
      <c r="H207" s="18">
        <f>(200+16027.28+500+300)/3</f>
        <v>5675.7599999999993</v>
      </c>
      <c r="I207" s="18">
        <f>1245.94/3</f>
        <v>415.31333333333333</v>
      </c>
      <c r="J207" s="18"/>
      <c r="K207" s="18"/>
      <c r="L207" s="19">
        <f t="shared" si="0"/>
        <v>70491.44</v>
      </c>
      <c r="M207" s="8"/>
      <c r="N207" s="266"/>
    </row>
    <row r="208" spans="1:14" s="3" customFormat="1" ht="12.2" customHeight="1" x14ac:dyDescent="0.15">
      <c r="A208" s="1" t="s">
        <v>447</v>
      </c>
      <c r="B208" s="2" t="s">
        <v>341</v>
      </c>
      <c r="C208" s="2" t="s">
        <v>299</v>
      </c>
      <c r="D208" s="2" t="s">
        <v>431</v>
      </c>
      <c r="E208" s="6">
        <v>2600</v>
      </c>
      <c r="F208" s="18">
        <f>123471.16+90017.92+16751.18</f>
        <v>230240.26</v>
      </c>
      <c r="G208" s="18">
        <f>32004.1+1471.83+123+289.71+11969.89+15624.29+27906.64</f>
        <v>89389.459999999992</v>
      </c>
      <c r="H208" s="18">
        <f>463.65+416.5+49439.32+292+54+1572+1514+14862+9045+1240+1336.25+4128+1560+65685.81+44212.92+17790.47+1466.07+1966.7</f>
        <v>217044.69000000003</v>
      </c>
      <c r="I208" s="18">
        <f>21591.64+1077.73+4433.28+39597.66+15440.06+3917.78+33703.81+16164.93+720+360</f>
        <v>137006.88999999998</v>
      </c>
      <c r="J208" s="18">
        <f>(25260.03+26470.16)/2</f>
        <v>25865.095000000001</v>
      </c>
      <c r="K208" s="18"/>
      <c r="L208" s="19">
        <f t="shared" si="0"/>
        <v>699546.39500000002</v>
      </c>
      <c r="M208" s="8"/>
      <c r="N208" s="266"/>
    </row>
    <row r="209" spans="1:14" s="3" customFormat="1" ht="12.2" customHeight="1" x14ac:dyDescent="0.15">
      <c r="A209" s="1" t="s">
        <v>448</v>
      </c>
      <c r="B209" s="2" t="s">
        <v>341</v>
      </c>
      <c r="C209" s="2" t="s">
        <v>300</v>
      </c>
      <c r="D209" s="2" t="s">
        <v>431</v>
      </c>
      <c r="E209" s="6">
        <v>2700</v>
      </c>
      <c r="F209" s="18"/>
      <c r="G209" s="18"/>
      <c r="H209" s="18">
        <f>216572.1-5619.5+83736.72+86989.25+1517.68</f>
        <v>383196.25</v>
      </c>
      <c r="I209" s="18"/>
      <c r="J209" s="18"/>
      <c r="K209" s="18"/>
      <c r="L209" s="19">
        <f t="shared" si="0"/>
        <v>383196.25</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4337271.3600000003</v>
      </c>
      <c r="G212" s="41">
        <f t="shared" si="1"/>
        <v>2131455.6933333334</v>
      </c>
      <c r="H212" s="41">
        <f t="shared" si="1"/>
        <v>877808.1133333334</v>
      </c>
      <c r="I212" s="41">
        <f t="shared" si="1"/>
        <v>269510.8133333333</v>
      </c>
      <c r="J212" s="41">
        <f t="shared" si="1"/>
        <v>105143.715</v>
      </c>
      <c r="K212" s="41">
        <f t="shared" si="1"/>
        <v>35370.953333333338</v>
      </c>
      <c r="L212" s="41">
        <f t="shared" si="1"/>
        <v>7756560.6483333334</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f>98082.62+1615643.85+31767.45</f>
        <v>1745493.9200000002</v>
      </c>
      <c r="G216" s="18">
        <f>337325.62+11799.39+1035+4168.7+124224.26+287654.3+16020.78+43140.21</f>
        <v>825368.26</v>
      </c>
      <c r="H216" s="18">
        <f>5918.54</f>
        <v>5918.54</v>
      </c>
      <c r="I216" s="18">
        <f>13847.64+5903.94+5310.34+999.31+4277.11+8007.25+4535.23+621.55+712.3+1606.35+597.13+713.05+1201.49+20680.12+28837.45</f>
        <v>97850.26</v>
      </c>
      <c r="J216" s="18"/>
      <c r="K216" s="18">
        <f>2565</f>
        <v>2565</v>
      </c>
      <c r="L216" s="19">
        <f>SUM(F216:K216)</f>
        <v>2677195.98</v>
      </c>
      <c r="M216" s="8"/>
      <c r="N216" s="266"/>
    </row>
    <row r="217" spans="1:14" s="3" customFormat="1" ht="12.2" customHeight="1" x14ac:dyDescent="0.15">
      <c r="A217" s="1" t="s">
        <v>439</v>
      </c>
      <c r="B217" s="2" t="s">
        <v>346</v>
      </c>
      <c r="C217" s="2" t="s">
        <v>291</v>
      </c>
      <c r="D217" s="2" t="s">
        <v>431</v>
      </c>
      <c r="E217" s="6">
        <v>1200</v>
      </c>
      <c r="F217" s="18">
        <f>13452.25+262537.88+308757.5+32+1429+9271.99</f>
        <v>595480.62</v>
      </c>
      <c r="G217" s="18">
        <f>157028.41+2670.27+690+1634.9+40807.58+78713.93</f>
        <v>281545.08999999997</v>
      </c>
      <c r="H217" s="18">
        <f>40665.36+86123.06+15300.65</f>
        <v>142089.07</v>
      </c>
      <c r="I217" s="18">
        <f>2104.06+1664.09</f>
        <v>3768.1499999999996</v>
      </c>
      <c r="J217" s="18">
        <f>4421.41</f>
        <v>4421.41</v>
      </c>
      <c r="K217" s="18"/>
      <c r="L217" s="19">
        <f>SUM(F217:K217)</f>
        <v>1027304.3400000001</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f>16616.64+20779.04</f>
        <v>37395.68</v>
      </c>
      <c r="G219" s="18">
        <f>1271.18+2355.62+3309+5937.65</f>
        <v>12873.45</v>
      </c>
      <c r="H219" s="18">
        <f>4558</f>
        <v>4558</v>
      </c>
      <c r="I219" s="18">
        <f>4998.27</f>
        <v>4998.2700000000004</v>
      </c>
      <c r="J219" s="18"/>
      <c r="K219" s="18">
        <f>672</f>
        <v>672</v>
      </c>
      <c r="L219" s="19">
        <f>SUM(F219:K219)</f>
        <v>60497.400000000009</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f>104500.24+28000.05+56000+74749.22+125190.33+83829.33+27099.12</f>
        <v>499368.29000000004</v>
      </c>
      <c r="G221" s="18">
        <f>58922+1159.4+72+276.76+7559.69+18600.92+33591.18+663.06+36+148.5+2096.12+4590.02+4984.07+9968.14+33543.24+58465.21+42749.2+250+2149.65+3027.04</f>
        <v>282852.19999999995</v>
      </c>
      <c r="H221" s="18">
        <f>65+16044.89</f>
        <v>16109.89</v>
      </c>
      <c r="I221" s="18">
        <f>268.1+803.53+3689.75+1394.11+835.43</f>
        <v>6990.92</v>
      </c>
      <c r="J221" s="18">
        <f>522.25</f>
        <v>522.25</v>
      </c>
      <c r="K221" s="18">
        <f>4472.13</f>
        <v>4472.13</v>
      </c>
      <c r="L221" s="19">
        <f t="shared" ref="L221:L227" si="2">SUM(F221:K221)</f>
        <v>810315.68</v>
      </c>
      <c r="M221" s="8"/>
      <c r="N221" s="266"/>
    </row>
    <row r="222" spans="1:14" s="3" customFormat="1" ht="12.2" customHeight="1" x14ac:dyDescent="0.15">
      <c r="A222" s="1" t="s">
        <v>443</v>
      </c>
      <c r="B222" s="2" t="s">
        <v>346</v>
      </c>
      <c r="C222" s="2" t="s">
        <v>295</v>
      </c>
      <c r="D222" s="2" t="s">
        <v>431</v>
      </c>
      <c r="E222" s="6">
        <v>2200</v>
      </c>
      <c r="F222" s="18">
        <f>63000.08+56000.1+48882.21</f>
        <v>167882.38999999998</v>
      </c>
      <c r="G222" s="18">
        <f>18655.76+497.34+36+167.1+4727.32+11214.06+25187.18+36+148.5+3931.2+9968.14+17257.31</f>
        <v>91825.909999999989</v>
      </c>
      <c r="H222" s="18">
        <f>60735.97+11803.06</f>
        <v>72539.03</v>
      </c>
      <c r="I222" s="18">
        <f>565.11-46.42+5167.88+3690.51+1599.43+6599.42</f>
        <v>17575.93</v>
      </c>
      <c r="J222" s="18">
        <f>641.93+3924.29+14821.72+36068.23+1439.97+5281.99</f>
        <v>62178.13</v>
      </c>
      <c r="K222" s="18">
        <f>23237.25</f>
        <v>23237.25</v>
      </c>
      <c r="L222" s="19">
        <f t="shared" si="2"/>
        <v>435238.63999999996</v>
      </c>
      <c r="M222" s="8"/>
      <c r="N222" s="266"/>
    </row>
    <row r="223" spans="1:14" s="3" customFormat="1" ht="12.2" customHeight="1" x14ac:dyDescent="0.15">
      <c r="A223" s="1" t="s">
        <v>444</v>
      </c>
      <c r="B223" s="2" t="s">
        <v>346</v>
      </c>
      <c r="C223" s="2" t="s">
        <v>296</v>
      </c>
      <c r="D223" s="2" t="s">
        <v>431</v>
      </c>
      <c r="E223" s="6">
        <v>2300</v>
      </c>
      <c r="F223" s="18">
        <f>(1000+125+700+75+540+186697.16+97593.6+93044.5)/3</f>
        <v>126591.75333333334</v>
      </c>
      <c r="G223" s="18">
        <f>(103.68+110.02+103526.94+6288.76+168+912.95+20786.89+7257.64+36027.49+10901.28)/3</f>
        <v>62027.883333333331</v>
      </c>
      <c r="H223" s="18">
        <f>(15150+50094.12+1579.24+310+75+4261.11+1615.61+828.84+6611.69+2999.99+462.83+2488.02)/3</f>
        <v>28825.483333333337</v>
      </c>
      <c r="I223" s="18">
        <f>(4655.16)/3</f>
        <v>1551.72</v>
      </c>
      <c r="J223" s="18">
        <f>2736/3</f>
        <v>912</v>
      </c>
      <c r="K223" s="18">
        <f>(5705.76+5285.82+4847.76+2396.92)/3</f>
        <v>6078.753333333334</v>
      </c>
      <c r="L223" s="19">
        <f t="shared" si="2"/>
        <v>225987.59333333332</v>
      </c>
      <c r="M223" s="8"/>
      <c r="N223" s="266"/>
    </row>
    <row r="224" spans="1:14" s="3" customFormat="1" ht="12.2" customHeight="1" x14ac:dyDescent="0.15">
      <c r="A224" s="1" t="s">
        <v>445</v>
      </c>
      <c r="B224" s="2" t="s">
        <v>346</v>
      </c>
      <c r="C224" s="2" t="s">
        <v>297</v>
      </c>
      <c r="D224" s="2" t="s">
        <v>431</v>
      </c>
      <c r="E224" s="6">
        <v>2400</v>
      </c>
      <c r="F224" s="18">
        <f>96000.06+71976.06+55115.69</f>
        <v>223091.81</v>
      </c>
      <c r="G224" s="18">
        <f>29187.08+1186.44+134.48+516.23+17095.05+34499.72</f>
        <v>82619</v>
      </c>
      <c r="H224" s="18">
        <f>14186.31+16117.77+1500+400</f>
        <v>32204.080000000002</v>
      </c>
      <c r="I224" s="18"/>
      <c r="J224" s="18">
        <f>13908</f>
        <v>13908</v>
      </c>
      <c r="K224" s="18">
        <f>1120+1203</f>
        <v>2323</v>
      </c>
      <c r="L224" s="19">
        <f t="shared" si="2"/>
        <v>354145.89</v>
      </c>
      <c r="M224" s="8"/>
      <c r="N224" s="266"/>
    </row>
    <row r="225" spans="1:14" s="3" customFormat="1" ht="12.2" customHeight="1" x14ac:dyDescent="0.15">
      <c r="A225" s="1" t="s">
        <v>446</v>
      </c>
      <c r="B225" s="2" t="s">
        <v>346</v>
      </c>
      <c r="C225" s="2" t="s">
        <v>298</v>
      </c>
      <c r="D225" s="2" t="s">
        <v>431</v>
      </c>
      <c r="E225" s="6">
        <v>2500</v>
      </c>
      <c r="F225" s="18">
        <f>(79483.04+44831.7)/3</f>
        <v>41438.246666666666</v>
      </c>
      <c r="G225" s="18">
        <f>(43842.74+1570.08+72+329.19+9186.43+13885.92)/3</f>
        <v>22962.12</v>
      </c>
      <c r="H225" s="18">
        <f>(200+16027.28+500+300)/3</f>
        <v>5675.7599999999993</v>
      </c>
      <c r="I225" s="18">
        <f>1245.94/3</f>
        <v>415.31333333333333</v>
      </c>
      <c r="J225" s="18"/>
      <c r="K225" s="18"/>
      <c r="L225" s="19">
        <f t="shared" si="2"/>
        <v>70491.44</v>
      </c>
      <c r="M225" s="8"/>
      <c r="N225" s="266"/>
    </row>
    <row r="226" spans="1:14" s="3" customFormat="1" ht="12.2" customHeight="1" x14ac:dyDescent="0.15">
      <c r="A226" s="1" t="s">
        <v>447</v>
      </c>
      <c r="B226" s="2" t="s">
        <v>346</v>
      </c>
      <c r="C226" s="2" t="s">
        <v>299</v>
      </c>
      <c r="D226" s="2" t="s">
        <v>431</v>
      </c>
      <c r="E226" s="6">
        <v>2600</v>
      </c>
      <c r="F226" s="18">
        <f>123397.79+90017.92+16751.18</f>
        <v>230166.88999999998</v>
      </c>
      <c r="G226" s="18">
        <f>32004.12+1471.89+123+289.67+9304.82+13401.3+27906.64</f>
        <v>84501.440000000002</v>
      </c>
      <c r="H226" s="18">
        <f>683.48+416.5+49439.32+6688+1666+24782+240+2980+4128+58378.37+360+1466.07+17790.47+1966.7</f>
        <v>170984.91000000003</v>
      </c>
      <c r="I226" s="18">
        <f>32964.9+124209.27+26265.47+22863.96</f>
        <v>206303.6</v>
      </c>
      <c r="J226" s="18">
        <f>(25260.03+26470.16)/2</f>
        <v>25865.095000000001</v>
      </c>
      <c r="K226" s="18"/>
      <c r="L226" s="19">
        <f t="shared" si="2"/>
        <v>717821.93499999994</v>
      </c>
      <c r="M226" s="8"/>
      <c r="N226" s="266"/>
    </row>
    <row r="227" spans="1:14" s="3" customFormat="1" ht="12.2" customHeight="1" x14ac:dyDescent="0.15">
      <c r="A227" s="1" t="s">
        <v>448</v>
      </c>
      <c r="B227" s="2" t="s">
        <v>346</v>
      </c>
      <c r="C227" s="2" t="s">
        <v>300</v>
      </c>
      <c r="D227" s="2" t="s">
        <v>431</v>
      </c>
      <c r="E227" s="6">
        <v>2700</v>
      </c>
      <c r="F227" s="18"/>
      <c r="G227" s="18"/>
      <c r="H227" s="18">
        <f>3779+3670.62+86989.25+215933.81-5619.5</f>
        <v>304753.18</v>
      </c>
      <c r="I227" s="18"/>
      <c r="J227" s="18"/>
      <c r="K227" s="18"/>
      <c r="L227" s="19">
        <f t="shared" si="2"/>
        <v>304753.18</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3666909.6000000006</v>
      </c>
      <c r="G230" s="41">
        <f>SUM(G216:G229)</f>
        <v>1746575.3533333333</v>
      </c>
      <c r="H230" s="41">
        <f>SUM(H216:H229)</f>
        <v>783657.94333333336</v>
      </c>
      <c r="I230" s="41">
        <f>SUM(I216:I229)</f>
        <v>339454.16333333333</v>
      </c>
      <c r="J230" s="41">
        <f>SUM(J216:J229)</f>
        <v>107806.88499999999</v>
      </c>
      <c r="K230" s="41">
        <f t="shared" si="3"/>
        <v>39348.133333333331</v>
      </c>
      <c r="L230" s="41">
        <f t="shared" si="3"/>
        <v>6683752.0783333331</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f>2340824.48+1609738.03+2791227.8</f>
        <v>6741790.3099999996</v>
      </c>
      <c r="I234" s="18"/>
      <c r="J234" s="18"/>
      <c r="K234" s="18"/>
      <c r="L234" s="19">
        <f>SUM(F234:K234)</f>
        <v>6741790.3099999996</v>
      </c>
      <c r="M234" s="8"/>
      <c r="N234" s="266"/>
    </row>
    <row r="235" spans="1:14" s="3" customFormat="1" ht="12.2" customHeight="1" x14ac:dyDescent="0.15">
      <c r="A235" s="1" t="s">
        <v>439</v>
      </c>
      <c r="B235" s="2" t="s">
        <v>350</v>
      </c>
      <c r="C235" s="2" t="s">
        <v>291</v>
      </c>
      <c r="D235" s="2" t="s">
        <v>431</v>
      </c>
      <c r="E235" s="6">
        <v>1200</v>
      </c>
      <c r="F235" s="18"/>
      <c r="G235" s="18"/>
      <c r="H235" s="18">
        <f>324938.51+91196.83+415785.79</f>
        <v>831921.13</v>
      </c>
      <c r="I235" s="18"/>
      <c r="J235" s="18"/>
      <c r="K235" s="18"/>
      <c r="L235" s="19">
        <f>SUM(F235:K235)</f>
        <v>831921.13</v>
      </c>
      <c r="M235" s="8"/>
      <c r="N235" s="266"/>
    </row>
    <row r="236" spans="1:14" s="3" customFormat="1" ht="12.2" customHeight="1" x14ac:dyDescent="0.15">
      <c r="A236" s="1" t="s">
        <v>440</v>
      </c>
      <c r="B236" s="2" t="s">
        <v>350</v>
      </c>
      <c r="C236" s="2" t="s">
        <v>292</v>
      </c>
      <c r="D236" s="2" t="s">
        <v>431</v>
      </c>
      <c r="E236" s="6">
        <v>1300</v>
      </c>
      <c r="F236" s="18"/>
      <c r="G236" s="18"/>
      <c r="H236" s="18">
        <v>390</v>
      </c>
      <c r="I236" s="18"/>
      <c r="J236" s="18"/>
      <c r="K236" s="18"/>
      <c r="L236" s="19">
        <f>SUM(F236:K236)</f>
        <v>390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f>(1000+125+700+75+540+186697.16+97593.6+93044.5)/3</f>
        <v>126591.75333333334</v>
      </c>
      <c r="G241" s="18">
        <f>(103.68+110.02+103526.94+6288.76+168+912.95+20786.89+7257.64+36027.49+10901.28)/3</f>
        <v>62027.883333333331</v>
      </c>
      <c r="H241" s="18">
        <f>(15150+50094.12+1579.24+310+75+4261.11+1615.61+828.84+6611.69+2999.99+462.83+2488.02)/3</f>
        <v>28825.483333333337</v>
      </c>
      <c r="I241" s="18">
        <f>(4655.16)/3</f>
        <v>1551.72</v>
      </c>
      <c r="J241" s="18">
        <f>2736/3</f>
        <v>912</v>
      </c>
      <c r="K241" s="18">
        <f>(5705.76+5285.82+4847.76+2396.92)/3</f>
        <v>6078.753333333334</v>
      </c>
      <c r="L241" s="19">
        <f t="shared" si="4"/>
        <v>225987.59333333332</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f>(79483.04+44831.7)/3</f>
        <v>41438.246666666666</v>
      </c>
      <c r="G243" s="18">
        <f>(43842.74+1570.08+72+329.19+9186.43+13885.92)/3</f>
        <v>22962.12</v>
      </c>
      <c r="H243" s="18">
        <f>(200+16027.28+500+300)/3</f>
        <v>5675.7599999999993</v>
      </c>
      <c r="I243" s="18">
        <f>1245.94/3</f>
        <v>415.31333333333333</v>
      </c>
      <c r="J243" s="18"/>
      <c r="K243" s="18"/>
      <c r="L243" s="19">
        <f t="shared" si="4"/>
        <v>70491.44</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f>241042.38+91513.81</f>
        <v>332556.19</v>
      </c>
      <c r="I245" s="18"/>
      <c r="J245" s="18"/>
      <c r="K245" s="18"/>
      <c r="L245" s="19">
        <f t="shared" si="4"/>
        <v>332556.19</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168030</v>
      </c>
      <c r="G248" s="41">
        <f t="shared" si="5"/>
        <v>84990.003333333327</v>
      </c>
      <c r="H248" s="41">
        <f t="shared" si="5"/>
        <v>7941158.8733333331</v>
      </c>
      <c r="I248" s="41">
        <f t="shared" si="5"/>
        <v>1967.0333333333333</v>
      </c>
      <c r="J248" s="41">
        <f t="shared" si="5"/>
        <v>912</v>
      </c>
      <c r="K248" s="41">
        <f t="shared" si="5"/>
        <v>6078.753333333334</v>
      </c>
      <c r="L248" s="41">
        <f t="shared" si="5"/>
        <v>8203136.663333334</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8172210.9600000009</v>
      </c>
      <c r="G258" s="41">
        <f t="shared" si="8"/>
        <v>3963021.0500000003</v>
      </c>
      <c r="H258" s="41">
        <f t="shared" si="8"/>
        <v>9602624.9299999997</v>
      </c>
      <c r="I258" s="41">
        <f t="shared" si="8"/>
        <v>610932.00999999989</v>
      </c>
      <c r="J258" s="41">
        <f t="shared" si="8"/>
        <v>213862.59999999998</v>
      </c>
      <c r="K258" s="41">
        <f t="shared" si="8"/>
        <v>80797.84</v>
      </c>
      <c r="L258" s="41">
        <f t="shared" si="8"/>
        <v>22643449.390000001</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710000</v>
      </c>
      <c r="L261" s="19">
        <f>SUM(F261:K261)</f>
        <v>710000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118747.5</v>
      </c>
      <c r="L262" s="19">
        <f>SUM(F262:K262)</f>
        <v>118747.5</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58315</v>
      </c>
      <c r="L264" s="19">
        <f>SUM(F264:K264)</f>
        <v>58315</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150000</v>
      </c>
      <c r="L267" s="19">
        <f t="shared" si="9"/>
        <v>150000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1037062.5</v>
      </c>
      <c r="L271" s="41">
        <f t="shared" si="9"/>
        <v>1037062.5</v>
      </c>
      <c r="M271" s="8"/>
      <c r="N271" s="266"/>
    </row>
    <row r="272" spans="1:14" s="34" customFormat="1" ht="12.2" customHeight="1" thickTop="1" x14ac:dyDescent="0.2">
      <c r="A272" s="43" t="s">
        <v>464</v>
      </c>
      <c r="B272" s="40">
        <v>10</v>
      </c>
      <c r="C272" s="40">
        <v>18</v>
      </c>
      <c r="D272" s="39" t="s">
        <v>431</v>
      </c>
      <c r="E272" s="40"/>
      <c r="F272" s="42">
        <f t="shared" ref="F272:L272" si="11">F258+F271</f>
        <v>8172210.9600000009</v>
      </c>
      <c r="G272" s="42">
        <f t="shared" si="11"/>
        <v>3963021.0500000003</v>
      </c>
      <c r="H272" s="42">
        <f t="shared" si="11"/>
        <v>9602624.9299999997</v>
      </c>
      <c r="I272" s="42">
        <f t="shared" si="11"/>
        <v>610932.00999999989</v>
      </c>
      <c r="J272" s="42">
        <f t="shared" si="11"/>
        <v>213862.59999999998</v>
      </c>
      <c r="K272" s="42">
        <f t="shared" si="11"/>
        <v>1117860.3400000001</v>
      </c>
      <c r="L272" s="42">
        <f t="shared" si="11"/>
        <v>23680511.890000001</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250+2812.5+67428.72+4312.47</f>
        <v>74803.69</v>
      </c>
      <c r="G277" s="18">
        <f>19.13+44.5+716+5059.32+1082.63</f>
        <v>6921.58</v>
      </c>
      <c r="H277" s="18">
        <f>295+3917.43+4999.99+518+5673.11</f>
        <v>15403.529999999999</v>
      </c>
      <c r="I277" s="18">
        <f>663.21+2286.36+323.25+7258+287.2</f>
        <v>10818.02</v>
      </c>
      <c r="J277" s="18">
        <v>2281.7399999999998</v>
      </c>
      <c r="K277" s="18"/>
      <c r="L277" s="19">
        <f>SUM(F277:K277)</f>
        <v>110228.56000000001</v>
      </c>
      <c r="M277" s="8"/>
      <c r="N277" s="266"/>
    </row>
    <row r="278" spans="1:14" s="3" customFormat="1" ht="12.2" customHeight="1" x14ac:dyDescent="0.15">
      <c r="A278" s="1" t="s">
        <v>439</v>
      </c>
      <c r="B278" s="2" t="s">
        <v>357</v>
      </c>
      <c r="C278" s="2" t="s">
        <v>291</v>
      </c>
      <c r="D278" s="2" t="s">
        <v>431</v>
      </c>
      <c r="E278" s="6">
        <v>1200</v>
      </c>
      <c r="F278" s="18">
        <f>98749.82+42500.12+40971.13</f>
        <v>182221.07</v>
      </c>
      <c r="G278" s="18">
        <f>5631+8000+23080.32+3251.3+7107.87+2728.78+17577.5</f>
        <v>67376.77</v>
      </c>
      <c r="H278" s="18">
        <f>2150.03+864.3</f>
        <v>3014.33</v>
      </c>
      <c r="I278" s="18"/>
      <c r="J278" s="18"/>
      <c r="K278" s="18"/>
      <c r="L278" s="19">
        <f>SUM(F278:K278)</f>
        <v>252612.17</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f>(6187.5+4100)/2</f>
        <v>5143.75</v>
      </c>
      <c r="G283" s="18">
        <f>(473.84+1101.38+191.25+445)/2</f>
        <v>1105.7350000000001</v>
      </c>
      <c r="H283" s="18">
        <f>(7995+346.64+12943+6820)/2</f>
        <v>14052.32</v>
      </c>
      <c r="I283" s="18">
        <f>(3034.26+614.54)/2</f>
        <v>1824.4</v>
      </c>
      <c r="J283" s="18"/>
      <c r="K283" s="18"/>
      <c r="L283" s="19">
        <f t="shared" si="12"/>
        <v>22126.205000000002</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f>3252.64</f>
        <v>3252.64</v>
      </c>
      <c r="I288" s="18"/>
      <c r="J288" s="18"/>
      <c r="K288" s="18"/>
      <c r="L288" s="19">
        <f t="shared" si="12"/>
        <v>3252.64</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262168.51</v>
      </c>
      <c r="G291" s="42">
        <f t="shared" si="13"/>
        <v>75404.085000000006</v>
      </c>
      <c r="H291" s="42">
        <f t="shared" si="13"/>
        <v>35722.82</v>
      </c>
      <c r="I291" s="42">
        <f t="shared" si="13"/>
        <v>12642.42</v>
      </c>
      <c r="J291" s="42">
        <f t="shared" si="13"/>
        <v>2281.7399999999998</v>
      </c>
      <c r="K291" s="42">
        <f t="shared" si="13"/>
        <v>0</v>
      </c>
      <c r="L291" s="41">
        <f t="shared" si="13"/>
        <v>388219.57500000007</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f>2812.5+4312.5</f>
        <v>7125</v>
      </c>
      <c r="G296" s="18">
        <f>716+1082.63</f>
        <v>1798.63</v>
      </c>
      <c r="H296" s="18">
        <f>3917.42+5000+5673.11</f>
        <v>14590.529999999999</v>
      </c>
      <c r="I296" s="18">
        <f>287.2</f>
        <v>287.2</v>
      </c>
      <c r="J296" s="18">
        <v>2281.7399999999998</v>
      </c>
      <c r="K296" s="18"/>
      <c r="L296" s="19">
        <f>SUM(F296:K296)</f>
        <v>26083.1</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f>(6187.5+4100)/2</f>
        <v>5143.75</v>
      </c>
      <c r="G302" s="18">
        <f>(473.84+1101.38+191.25+445)/2</f>
        <v>1105.7350000000001</v>
      </c>
      <c r="H302" s="18">
        <f>(7995+346.64+12943+6820)/2</f>
        <v>14052.32</v>
      </c>
      <c r="I302" s="18">
        <f>(3034.26+614.54)/2</f>
        <v>1824.4</v>
      </c>
      <c r="J302" s="18"/>
      <c r="K302" s="18"/>
      <c r="L302" s="19">
        <f t="shared" si="14"/>
        <v>22126.205000000002</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12268.75</v>
      </c>
      <c r="G310" s="42">
        <f t="shared" si="15"/>
        <v>2904.3650000000002</v>
      </c>
      <c r="H310" s="42">
        <f t="shared" si="15"/>
        <v>28642.85</v>
      </c>
      <c r="I310" s="42">
        <f t="shared" si="15"/>
        <v>2111.6</v>
      </c>
      <c r="J310" s="42">
        <f t="shared" si="15"/>
        <v>2281.7399999999998</v>
      </c>
      <c r="K310" s="42">
        <f t="shared" si="15"/>
        <v>0</v>
      </c>
      <c r="L310" s="41">
        <f t="shared" si="15"/>
        <v>48209.305</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274437.26</v>
      </c>
      <c r="G339" s="41">
        <f t="shared" si="20"/>
        <v>78308.450000000012</v>
      </c>
      <c r="H339" s="41">
        <f t="shared" si="20"/>
        <v>64365.67</v>
      </c>
      <c r="I339" s="41">
        <f t="shared" si="20"/>
        <v>14754.02</v>
      </c>
      <c r="J339" s="41">
        <f t="shared" si="20"/>
        <v>4563.4799999999996</v>
      </c>
      <c r="K339" s="41">
        <f t="shared" si="20"/>
        <v>0</v>
      </c>
      <c r="L339" s="41">
        <f t="shared" si="20"/>
        <v>436428.88000000006</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274437.26</v>
      </c>
      <c r="G353" s="41">
        <f>G339</f>
        <v>78308.450000000012</v>
      </c>
      <c r="H353" s="41">
        <f>H339</f>
        <v>64365.67</v>
      </c>
      <c r="I353" s="41">
        <f>I339</f>
        <v>14754.02</v>
      </c>
      <c r="J353" s="41">
        <f>J339</f>
        <v>4563.4799999999996</v>
      </c>
      <c r="K353" s="47">
        <f>K339+K352</f>
        <v>0</v>
      </c>
      <c r="L353" s="41">
        <f>L339+L352</f>
        <v>436428.88000000006</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f>(256945+705+286)/2</f>
        <v>128968</v>
      </c>
      <c r="I359" s="18"/>
      <c r="J359" s="18"/>
      <c r="K359" s="18">
        <f>792/2</f>
        <v>396</v>
      </c>
      <c r="L359" s="13">
        <f>SUM(F359:K359)</f>
        <v>129364</v>
      </c>
      <c r="M359" s="8"/>
      <c r="N359" s="266"/>
    </row>
    <row r="360" spans="1:22" s="3" customFormat="1" ht="12.2" customHeight="1" x14ac:dyDescent="0.15">
      <c r="A360" s="1" t="s">
        <v>542</v>
      </c>
      <c r="B360" s="2" t="s">
        <v>366</v>
      </c>
      <c r="C360" s="6">
        <v>2</v>
      </c>
      <c r="D360" s="2" t="s">
        <v>431</v>
      </c>
      <c r="E360" s="6"/>
      <c r="F360" s="18"/>
      <c r="G360" s="18"/>
      <c r="H360" s="18">
        <f>(256945+705+286)/2</f>
        <v>128968</v>
      </c>
      <c r="I360" s="18"/>
      <c r="J360" s="18"/>
      <c r="K360" s="18">
        <f>792/2</f>
        <v>396</v>
      </c>
      <c r="L360" s="19">
        <f>SUM(F360:K360)</f>
        <v>129364</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257936</v>
      </c>
      <c r="I363" s="47">
        <f t="shared" si="22"/>
        <v>0</v>
      </c>
      <c r="J363" s="47">
        <f t="shared" si="22"/>
        <v>0</v>
      </c>
      <c r="K363" s="47">
        <f t="shared" si="22"/>
        <v>792</v>
      </c>
      <c r="L363" s="47">
        <f t="shared" si="22"/>
        <v>258728</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v>150000</v>
      </c>
      <c r="H389" s="18">
        <v>4917.26</v>
      </c>
      <c r="I389" s="18"/>
      <c r="J389" s="24" t="s">
        <v>288</v>
      </c>
      <c r="K389" s="24" t="s">
        <v>288</v>
      </c>
      <c r="L389" s="56">
        <f t="shared" si="25"/>
        <v>154917.26</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150000</v>
      </c>
      <c r="H394" s="139">
        <f>SUM(H388:H393)</f>
        <v>4917.26</v>
      </c>
      <c r="I394" s="65">
        <f>SUM(I388:I393)</f>
        <v>0</v>
      </c>
      <c r="J394" s="45" t="s">
        <v>288</v>
      </c>
      <c r="K394" s="45" t="s">
        <v>288</v>
      </c>
      <c r="L394" s="47">
        <f>SUM(L388:L393)</f>
        <v>154917.26</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v>5258.18</v>
      </c>
      <c r="I398" s="18"/>
      <c r="J398" s="24" t="s">
        <v>288</v>
      </c>
      <c r="K398" s="24" t="s">
        <v>288</v>
      </c>
      <c r="L398" s="56">
        <f t="shared" si="26"/>
        <v>5258.18</v>
      </c>
      <c r="M398" s="8"/>
      <c r="N398" s="266"/>
    </row>
    <row r="399" spans="1:14" s="3" customFormat="1" ht="12.2" customHeight="1" x14ac:dyDescent="0.15">
      <c r="A399" s="79" t="s">
        <v>558</v>
      </c>
      <c r="B399" s="2" t="s">
        <v>381</v>
      </c>
      <c r="C399" s="6">
        <v>11</v>
      </c>
      <c r="D399" s="2" t="s">
        <v>432</v>
      </c>
      <c r="E399" s="6"/>
      <c r="F399" s="18"/>
      <c r="G399" s="18"/>
      <c r="H399" s="18">
        <v>9783.0400000000009</v>
      </c>
      <c r="I399" s="18"/>
      <c r="J399" s="24" t="s">
        <v>288</v>
      </c>
      <c r="K399" s="24" t="s">
        <v>288</v>
      </c>
      <c r="L399" s="56">
        <f t="shared" si="26"/>
        <v>9783.0400000000009</v>
      </c>
      <c r="M399" s="8"/>
      <c r="N399" s="266"/>
    </row>
    <row r="400" spans="1:14" s="3" customFormat="1" ht="12.2" customHeight="1" x14ac:dyDescent="0.15">
      <c r="A400" s="79" t="s">
        <v>559</v>
      </c>
      <c r="B400" s="2" t="s">
        <v>381</v>
      </c>
      <c r="C400" s="6">
        <v>12</v>
      </c>
      <c r="D400" s="2" t="s">
        <v>432</v>
      </c>
      <c r="E400" s="6"/>
      <c r="F400" s="18"/>
      <c r="G400" s="18"/>
      <c r="H400" s="18">
        <v>930.77</v>
      </c>
      <c r="I400" s="18"/>
      <c r="J400" s="24" t="s">
        <v>288</v>
      </c>
      <c r="K400" s="24" t="s">
        <v>288</v>
      </c>
      <c r="L400" s="56">
        <f t="shared" si="26"/>
        <v>930.77</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15971.990000000002</v>
      </c>
      <c r="I402" s="47">
        <f>SUM(I396:I401)</f>
        <v>0</v>
      </c>
      <c r="J402" s="45" t="s">
        <v>288</v>
      </c>
      <c r="K402" s="45" t="s">
        <v>288</v>
      </c>
      <c r="L402" s="47">
        <f>SUM(L396:L401)</f>
        <v>15971.990000000002</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150000</v>
      </c>
      <c r="H409" s="47">
        <f>H394+H402+H408</f>
        <v>20889.25</v>
      </c>
      <c r="I409" s="47">
        <f>I394+I402+I408</f>
        <v>0</v>
      </c>
      <c r="J409" s="24" t="s">
        <v>288</v>
      </c>
      <c r="K409" s="24" t="s">
        <v>288</v>
      </c>
      <c r="L409" s="47">
        <f>L394+L402+L408</f>
        <v>170889.25</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1558756.84</v>
      </c>
      <c r="G440" s="18"/>
      <c r="H440" s="18"/>
      <c r="I440" s="56">
        <f t="shared" ref="I440:I446" si="33">SUM(F440:H440)</f>
        <v>1558756.84</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1558756.84</v>
      </c>
      <c r="G447" s="13">
        <f>SUM(G440:G446)</f>
        <v>0</v>
      </c>
      <c r="H447" s="13">
        <f>SUM(H440:H446)</f>
        <v>0</v>
      </c>
      <c r="I447" s="13">
        <f>SUM(I440:I446)</f>
        <v>1558756.84</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v>1558756.84</v>
      </c>
      <c r="G455" s="18"/>
      <c r="H455" s="18"/>
      <c r="I455" s="56">
        <f t="shared" ref="I455:I460" si="34">SUM(F455:H455)</f>
        <v>1558756.84</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1558756.84</v>
      </c>
      <c r="G461" s="83">
        <f>SUM(G455:G460)</f>
        <v>0</v>
      </c>
      <c r="H461" s="83">
        <f>SUM(H455:H460)</f>
        <v>0</v>
      </c>
      <c r="I461" s="83">
        <f>SUM(I455:I460)</f>
        <v>1558756.84</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1558756.84</v>
      </c>
      <c r="G462" s="42">
        <f>G453+G461</f>
        <v>0</v>
      </c>
      <c r="H462" s="42">
        <f>H453+H461</f>
        <v>0</v>
      </c>
      <c r="I462" s="42">
        <f>I453+I461</f>
        <v>1558756.84</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952752.11</v>
      </c>
      <c r="G466" s="18">
        <v>3891.04</v>
      </c>
      <c r="H466" s="18">
        <v>0</v>
      </c>
      <c r="I466" s="18">
        <v>0</v>
      </c>
      <c r="J466" s="18">
        <v>1387867.59</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24079594.399999999</v>
      </c>
      <c r="G469" s="18">
        <f>200413+58315</f>
        <v>258728</v>
      </c>
      <c r="H469" s="18">
        <v>436428.88</v>
      </c>
      <c r="I469" s="18"/>
      <c r="J469" s="18">
        <v>170889.25</v>
      </c>
      <c r="K469" s="24" t="s">
        <v>288</v>
      </c>
      <c r="L469" s="24" t="s">
        <v>288</v>
      </c>
      <c r="N469" s="265"/>
    </row>
    <row r="470" spans="1:14" s="52" customFormat="1" ht="12.2" customHeight="1" x14ac:dyDescent="0.2">
      <c r="A470" s="93" t="s">
        <v>611</v>
      </c>
      <c r="B470" s="75">
        <v>19</v>
      </c>
      <c r="C470" s="80">
        <v>3</v>
      </c>
      <c r="D470" s="2" t="s">
        <v>432</v>
      </c>
      <c r="E470" s="80"/>
      <c r="F470" s="18"/>
      <c r="G470" s="18" t="s">
        <v>286</v>
      </c>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24079594.399999999</v>
      </c>
      <c r="G471" s="53">
        <f>SUM(G469:G470)</f>
        <v>258728</v>
      </c>
      <c r="H471" s="53">
        <f>SUM(H469:H470)</f>
        <v>436428.88</v>
      </c>
      <c r="I471" s="53">
        <f>SUM(I469:I470)</f>
        <v>0</v>
      </c>
      <c r="J471" s="53">
        <f>SUM(J469:J470)</f>
        <v>170889.25</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150000+58315+48346+23423850.89</f>
        <v>23680511.890000001</v>
      </c>
      <c r="G473" s="18">
        <v>258728</v>
      </c>
      <c r="H473" s="18">
        <v>436428.88</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v>3891.04</v>
      </c>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23680511.890000001</v>
      </c>
      <c r="G475" s="53">
        <f>SUM(G473:G474)</f>
        <v>262619.03999999998</v>
      </c>
      <c r="H475" s="53">
        <f>SUM(H473:H474)</f>
        <v>436428.88</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1351834.6199999973</v>
      </c>
      <c r="G477" s="53">
        <f>(G466+G471)- G475</f>
        <v>0</v>
      </c>
      <c r="H477" s="53">
        <f>(H466+H471)- H475</f>
        <v>0</v>
      </c>
      <c r="I477" s="53">
        <f>(I466+I471)- I475</f>
        <v>0</v>
      </c>
      <c r="J477" s="53">
        <f>(J466+J471)- J475</f>
        <v>1558756.84</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1642</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1643</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14144129</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3.7</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2130000</v>
      </c>
      <c r="G496" s="18"/>
      <c r="H496" s="18"/>
      <c r="I496" s="18"/>
      <c r="J496" s="18"/>
      <c r="K496" s="53">
        <f>SUM(F496:J496)</f>
        <v>2130000</v>
      </c>
      <c r="L496" s="24" t="s">
        <v>288</v>
      </c>
      <c r="N496" s="265"/>
    </row>
    <row r="497" spans="1:14" s="52" customFormat="1" ht="12.2" customHeight="1" x14ac:dyDescent="0.2">
      <c r="A497" s="22" t="s">
        <v>620</v>
      </c>
      <c r="B497" s="75">
        <v>20</v>
      </c>
      <c r="C497" s="115">
        <v>7</v>
      </c>
      <c r="D497" s="2" t="s">
        <v>432</v>
      </c>
      <c r="E497" s="115"/>
      <c r="F497" s="18" t="s">
        <v>286</v>
      </c>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710000</v>
      </c>
      <c r="G498" s="18"/>
      <c r="H498" s="18"/>
      <c r="I498" s="18"/>
      <c r="J498" s="18"/>
      <c r="K498" s="53">
        <f t="shared" si="35"/>
        <v>710000</v>
      </c>
      <c r="L498" s="24" t="s">
        <v>288</v>
      </c>
      <c r="N498" s="265"/>
    </row>
    <row r="499" spans="1:14" s="52" customFormat="1" ht="12.2" customHeight="1" x14ac:dyDescent="0.2">
      <c r="A499" s="200" t="s">
        <v>622</v>
      </c>
      <c r="B499" s="201">
        <v>20</v>
      </c>
      <c r="C499" s="202">
        <v>9</v>
      </c>
      <c r="D499" s="203" t="s">
        <v>432</v>
      </c>
      <c r="E499" s="202"/>
      <c r="F499" s="204">
        <f>F496-F498</f>
        <v>1420000</v>
      </c>
      <c r="G499" s="204"/>
      <c r="H499" s="204"/>
      <c r="I499" s="204"/>
      <c r="J499" s="204"/>
      <c r="K499" s="205">
        <f t="shared" si="35"/>
        <v>1420000</v>
      </c>
      <c r="L499" s="206" t="s">
        <v>288</v>
      </c>
      <c r="N499" s="265"/>
    </row>
    <row r="500" spans="1:14" s="52" customFormat="1" ht="12.2" customHeight="1" thickBot="1" x14ac:dyDescent="0.25">
      <c r="A500" s="22" t="s">
        <v>623</v>
      </c>
      <c r="B500" s="75">
        <v>20</v>
      </c>
      <c r="C500" s="115">
        <v>10</v>
      </c>
      <c r="D500" s="2" t="s">
        <v>432</v>
      </c>
      <c r="E500" s="115"/>
      <c r="F500" s="18">
        <v>154779</v>
      </c>
      <c r="G500" s="18"/>
      <c r="H500" s="18"/>
      <c r="I500" s="18"/>
      <c r="J500" s="18"/>
      <c r="K500" s="53">
        <f t="shared" si="35"/>
        <v>154779</v>
      </c>
      <c r="L500" s="24" t="s">
        <v>288</v>
      </c>
      <c r="N500" s="265"/>
    </row>
    <row r="501" spans="1:14" s="52" customFormat="1" ht="12.2" customHeight="1" thickTop="1" x14ac:dyDescent="0.2">
      <c r="A501" s="139" t="s">
        <v>624</v>
      </c>
      <c r="B501" s="44">
        <v>20</v>
      </c>
      <c r="C501" s="195">
        <v>11</v>
      </c>
      <c r="D501" s="39" t="s">
        <v>432</v>
      </c>
      <c r="E501" s="195"/>
      <c r="F501" s="42">
        <f>SUM(F499:F500)</f>
        <v>1574779</v>
      </c>
      <c r="G501" s="42">
        <f>SUM(G499:G500)</f>
        <v>0</v>
      </c>
      <c r="H501" s="42">
        <f>SUM(H499:H500)</f>
        <v>0</v>
      </c>
      <c r="I501" s="42">
        <f>SUM(I499:I500)</f>
        <v>0</v>
      </c>
      <c r="J501" s="42">
        <f>SUM(J499:J500)</f>
        <v>0</v>
      </c>
      <c r="K501" s="42">
        <f t="shared" si="35"/>
        <v>1574779</v>
      </c>
      <c r="L501" s="45" t="s">
        <v>288</v>
      </c>
      <c r="N501" s="265"/>
    </row>
    <row r="502" spans="1:14" s="52" customFormat="1" ht="12.2" customHeight="1" x14ac:dyDescent="0.2">
      <c r="A502" s="200" t="s">
        <v>651</v>
      </c>
      <c r="B502" s="201">
        <v>20</v>
      </c>
      <c r="C502" s="202">
        <v>12</v>
      </c>
      <c r="D502" s="203" t="s">
        <v>432</v>
      </c>
      <c r="E502" s="202"/>
      <c r="F502" s="204">
        <v>710000</v>
      </c>
      <c r="G502" s="204"/>
      <c r="H502" s="204"/>
      <c r="I502" s="204"/>
      <c r="J502" s="204"/>
      <c r="K502" s="205">
        <f t="shared" si="35"/>
        <v>710000</v>
      </c>
      <c r="L502" s="206" t="s">
        <v>288</v>
      </c>
      <c r="N502" s="265"/>
    </row>
    <row r="503" spans="1:14" s="52" customFormat="1" ht="12.2" customHeight="1" thickBot="1" x14ac:dyDescent="0.25">
      <c r="A503" s="22" t="s">
        <v>625</v>
      </c>
      <c r="B503" s="75">
        <v>20</v>
      </c>
      <c r="C503" s="115">
        <v>13</v>
      </c>
      <c r="D503" s="2" t="s">
        <v>432</v>
      </c>
      <c r="E503" s="115"/>
      <c r="F503" s="18">
        <v>85555</v>
      </c>
      <c r="G503" s="18"/>
      <c r="H503" s="18"/>
      <c r="I503" s="18"/>
      <c r="J503" s="18"/>
      <c r="K503" s="53">
        <f t="shared" si="35"/>
        <v>85555</v>
      </c>
      <c r="L503" s="24" t="s">
        <v>288</v>
      </c>
      <c r="N503" s="265"/>
    </row>
    <row r="504" spans="1:14" s="52" customFormat="1" ht="12.2" customHeight="1" thickTop="1" x14ac:dyDescent="0.2">
      <c r="A504" s="139" t="s">
        <v>626</v>
      </c>
      <c r="B504" s="44">
        <v>20</v>
      </c>
      <c r="C504" s="195">
        <v>14</v>
      </c>
      <c r="D504" s="39" t="s">
        <v>432</v>
      </c>
      <c r="E504" s="195"/>
      <c r="F504" s="42">
        <f>SUM(F502:F503)</f>
        <v>795555</v>
      </c>
      <c r="G504" s="42">
        <f>SUM(G502:G503)</f>
        <v>0</v>
      </c>
      <c r="H504" s="42">
        <f>SUM(H502:H503)</f>
        <v>0</v>
      </c>
      <c r="I504" s="42">
        <f>SUM(I502:I503)</f>
        <v>0</v>
      </c>
      <c r="J504" s="42">
        <f>SUM(J502:J503)</f>
        <v>0</v>
      </c>
      <c r="K504" s="42">
        <f t="shared" si="35"/>
        <v>795555</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793488.88+182221.07</f>
        <v>975709.95</v>
      </c>
      <c r="G522" s="18">
        <f>407302.78+87376.77</f>
        <v>494679.55000000005</v>
      </c>
      <c r="H522" s="18">
        <f>120945.4+3014.33</f>
        <v>123959.73</v>
      </c>
      <c r="I522" s="18">
        <f>7154.16</f>
        <v>7154.16</v>
      </c>
      <c r="J522" s="18">
        <f>12645.99</f>
        <v>12645.99</v>
      </c>
      <c r="K522" s="18"/>
      <c r="L522" s="88">
        <f>SUM(F522:K522)</f>
        <v>1614149.38</v>
      </c>
      <c r="N522" s="265"/>
    </row>
    <row r="523" spans="1:14" s="52" customFormat="1" ht="12.2" customHeight="1" x14ac:dyDescent="0.2">
      <c r="A523" s="22" t="s">
        <v>634</v>
      </c>
      <c r="B523" s="105">
        <v>21</v>
      </c>
      <c r="C523" s="115">
        <v>2</v>
      </c>
      <c r="D523" s="2" t="s">
        <v>432</v>
      </c>
      <c r="E523" s="115"/>
      <c r="F523" s="18">
        <f>595480.62</f>
        <v>595480.62</v>
      </c>
      <c r="G523" s="18">
        <v>281545.09000000003</v>
      </c>
      <c r="H523" s="18">
        <v>142089.07</v>
      </c>
      <c r="I523" s="18">
        <v>3768.15</v>
      </c>
      <c r="J523" s="18">
        <v>4421.41</v>
      </c>
      <c r="K523" s="18"/>
      <c r="L523" s="88">
        <f>SUM(F523:K523)</f>
        <v>1027304.3400000001</v>
      </c>
      <c r="N523" s="265"/>
    </row>
    <row r="524" spans="1:14" s="52" customFormat="1" ht="12.2" customHeight="1" thickBot="1" x14ac:dyDescent="0.25">
      <c r="A524" s="22" t="s">
        <v>635</v>
      </c>
      <c r="B524" s="105">
        <v>21</v>
      </c>
      <c r="C524" s="115">
        <v>3</v>
      </c>
      <c r="D524" s="2" t="s">
        <v>432</v>
      </c>
      <c r="E524" s="115"/>
      <c r="F524" s="18"/>
      <c r="G524" s="18"/>
      <c r="H524" s="18">
        <v>831921.13</v>
      </c>
      <c r="I524" s="18"/>
      <c r="J524" s="18"/>
      <c r="K524" s="18"/>
      <c r="L524" s="88">
        <f>SUM(F524:K524)</f>
        <v>831921.13</v>
      </c>
      <c r="N524" s="265"/>
    </row>
    <row r="525" spans="1:14" s="52" customFormat="1" ht="12.2" customHeight="1" thickTop="1" x14ac:dyDescent="0.2">
      <c r="A525" s="139" t="s">
        <v>63</v>
      </c>
      <c r="B525" s="107">
        <v>21</v>
      </c>
      <c r="C525" s="195">
        <v>4</v>
      </c>
      <c r="D525" s="196" t="s">
        <v>432</v>
      </c>
      <c r="E525" s="195"/>
      <c r="F525" s="108">
        <f>SUM(F522:F524)</f>
        <v>1571190.5699999998</v>
      </c>
      <c r="G525" s="108">
        <f t="shared" ref="G525:L525" si="36">SUM(G522:G524)</f>
        <v>776224.64000000013</v>
      </c>
      <c r="H525" s="108">
        <f t="shared" si="36"/>
        <v>1097969.93</v>
      </c>
      <c r="I525" s="108">
        <f t="shared" si="36"/>
        <v>10922.31</v>
      </c>
      <c r="J525" s="108">
        <f t="shared" si="36"/>
        <v>17067.400000000001</v>
      </c>
      <c r="K525" s="108">
        <f t="shared" si="36"/>
        <v>0</v>
      </c>
      <c r="L525" s="89">
        <f t="shared" si="36"/>
        <v>3473374.8499999996</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500011.01</f>
        <v>500011.01</v>
      </c>
      <c r="G527" s="18">
        <v>207846.22</v>
      </c>
      <c r="H527" s="18">
        <v>16174.89</v>
      </c>
      <c r="I527" s="18">
        <v>7867.27</v>
      </c>
      <c r="J527" s="18">
        <v>1044.5</v>
      </c>
      <c r="K527" s="18">
        <v>4472.12</v>
      </c>
      <c r="L527" s="88">
        <f>SUM(F527:K527)</f>
        <v>737416.01</v>
      </c>
      <c r="M527" s="8"/>
      <c r="N527" s="266"/>
    </row>
    <row r="528" spans="1:14" s="3" customFormat="1" ht="12.2" customHeight="1" x14ac:dyDescent="0.15">
      <c r="A528" s="22" t="s">
        <v>634</v>
      </c>
      <c r="B528" s="105">
        <v>21</v>
      </c>
      <c r="C528" s="115">
        <v>6</v>
      </c>
      <c r="D528" s="2" t="s">
        <v>432</v>
      </c>
      <c r="E528" s="115"/>
      <c r="F528" s="18">
        <v>499368.29</v>
      </c>
      <c r="G528" s="18">
        <v>282852.2</v>
      </c>
      <c r="H528" s="18">
        <v>16109.89</v>
      </c>
      <c r="I528" s="18">
        <v>6990.92</v>
      </c>
      <c r="J528" s="18">
        <v>522.25</v>
      </c>
      <c r="K528" s="18">
        <v>4472.13</v>
      </c>
      <c r="L528" s="88">
        <f>SUM(F528:K528)</f>
        <v>810315.68</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999379.3</v>
      </c>
      <c r="G530" s="89">
        <f t="shared" ref="G530:L530" si="37">SUM(G527:G529)</f>
        <v>490698.42000000004</v>
      </c>
      <c r="H530" s="89">
        <f t="shared" si="37"/>
        <v>32284.78</v>
      </c>
      <c r="I530" s="89">
        <f t="shared" si="37"/>
        <v>14858.19</v>
      </c>
      <c r="J530" s="89">
        <f t="shared" si="37"/>
        <v>1566.75</v>
      </c>
      <c r="K530" s="89">
        <f t="shared" si="37"/>
        <v>8944.25</v>
      </c>
      <c r="L530" s="89">
        <f t="shared" si="37"/>
        <v>1547731.69</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126591.75</v>
      </c>
      <c r="G532" s="18">
        <v>62027.88</v>
      </c>
      <c r="H532" s="18">
        <v>28825.48</v>
      </c>
      <c r="I532" s="18">
        <v>1551.72</v>
      </c>
      <c r="J532" s="18">
        <v>912</v>
      </c>
      <c r="K532" s="18">
        <v>6078.75</v>
      </c>
      <c r="L532" s="88">
        <f>SUM(F532:K532)</f>
        <v>225987.58000000002</v>
      </c>
      <c r="M532" s="8"/>
      <c r="N532" s="266"/>
    </row>
    <row r="533" spans="1:14" s="3" customFormat="1" ht="12.2" customHeight="1" x14ac:dyDescent="0.15">
      <c r="A533" s="22" t="s">
        <v>634</v>
      </c>
      <c r="B533" s="105">
        <v>21</v>
      </c>
      <c r="C533" s="105">
        <v>10</v>
      </c>
      <c r="D533" s="2" t="s">
        <v>432</v>
      </c>
      <c r="E533" s="105"/>
      <c r="F533" s="18">
        <v>126591.75</v>
      </c>
      <c r="G533" s="18">
        <v>62027.88</v>
      </c>
      <c r="H533" s="18">
        <v>28825.48</v>
      </c>
      <c r="I533" s="18">
        <v>1551.72</v>
      </c>
      <c r="J533" s="18">
        <v>912</v>
      </c>
      <c r="K533" s="18">
        <v>6078.75</v>
      </c>
      <c r="L533" s="88">
        <f>SUM(F533:K533)</f>
        <v>225987.58000000002</v>
      </c>
      <c r="M533" s="8"/>
      <c r="N533" s="266"/>
    </row>
    <row r="534" spans="1:14" s="3" customFormat="1" ht="12.2" customHeight="1" thickBot="1" x14ac:dyDescent="0.2">
      <c r="A534" s="22" t="s">
        <v>635</v>
      </c>
      <c r="B534" s="105">
        <v>21</v>
      </c>
      <c r="C534" s="105">
        <v>11</v>
      </c>
      <c r="D534" s="2" t="s">
        <v>432</v>
      </c>
      <c r="E534" s="105"/>
      <c r="F534" s="18">
        <v>126591.75</v>
      </c>
      <c r="G534" s="18">
        <v>62027.88</v>
      </c>
      <c r="H534" s="18">
        <v>28825.48</v>
      </c>
      <c r="I534" s="18">
        <v>1551.72</v>
      </c>
      <c r="J534" s="18">
        <v>912</v>
      </c>
      <c r="K534" s="18">
        <v>6078.75</v>
      </c>
      <c r="L534" s="88">
        <f>SUM(F534:K534)</f>
        <v>225987.58000000002</v>
      </c>
      <c r="M534" s="8"/>
      <c r="N534" s="266"/>
    </row>
    <row r="535" spans="1:14" s="3" customFormat="1" ht="12.2" customHeight="1" thickTop="1" x14ac:dyDescent="0.15">
      <c r="A535" s="139" t="s">
        <v>67</v>
      </c>
      <c r="B535" s="107">
        <v>21</v>
      </c>
      <c r="C535" s="107">
        <v>12</v>
      </c>
      <c r="D535" s="158" t="s">
        <v>432</v>
      </c>
      <c r="E535" s="107"/>
      <c r="F535" s="89">
        <f>SUM(F532:F534)</f>
        <v>379775.25</v>
      </c>
      <c r="G535" s="89">
        <f t="shared" ref="G535:L535" si="38">SUM(G532:G534)</f>
        <v>186083.63999999998</v>
      </c>
      <c r="H535" s="89">
        <f t="shared" si="38"/>
        <v>86476.44</v>
      </c>
      <c r="I535" s="89">
        <f t="shared" si="38"/>
        <v>4655.16</v>
      </c>
      <c r="J535" s="89">
        <f t="shared" si="38"/>
        <v>2736</v>
      </c>
      <c r="K535" s="89">
        <f t="shared" si="38"/>
        <v>18236.25</v>
      </c>
      <c r="L535" s="89">
        <f t="shared" si="38"/>
        <v>677962.74</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f>83736.72+86989.25</f>
        <v>170725.97</v>
      </c>
      <c r="I542" s="18"/>
      <c r="J542" s="18"/>
      <c r="K542" s="18"/>
      <c r="L542" s="88">
        <f>SUM(F542:K542)</f>
        <v>170725.97</v>
      </c>
      <c r="M542" s="8"/>
      <c r="N542" s="266"/>
    </row>
    <row r="543" spans="1:14" s="3" customFormat="1" ht="12.2" customHeight="1" x14ac:dyDescent="0.15">
      <c r="A543" s="22" t="s">
        <v>634</v>
      </c>
      <c r="B543" s="105">
        <v>21</v>
      </c>
      <c r="C543" s="105">
        <v>18</v>
      </c>
      <c r="D543" s="2" t="s">
        <v>432</v>
      </c>
      <c r="E543" s="105"/>
      <c r="F543" s="18"/>
      <c r="G543" s="18"/>
      <c r="H543" s="18">
        <v>86989.25</v>
      </c>
      <c r="I543" s="18"/>
      <c r="J543" s="18"/>
      <c r="K543" s="18"/>
      <c r="L543" s="88">
        <f>SUM(F543:K543)</f>
        <v>86989.25</v>
      </c>
      <c r="M543" s="8"/>
      <c r="N543" s="266"/>
    </row>
    <row r="544" spans="1:14" s="3" customFormat="1" ht="12.2" customHeight="1" thickBot="1" x14ac:dyDescent="0.2">
      <c r="A544" s="22" t="s">
        <v>635</v>
      </c>
      <c r="B544" s="105">
        <v>21</v>
      </c>
      <c r="C544" s="105">
        <v>19</v>
      </c>
      <c r="D544" s="2" t="s">
        <v>432</v>
      </c>
      <c r="E544" s="105"/>
      <c r="F544" s="18"/>
      <c r="G544" s="18"/>
      <c r="H544" s="18">
        <v>91513.81</v>
      </c>
      <c r="I544" s="18"/>
      <c r="J544" s="18"/>
      <c r="K544" s="18"/>
      <c r="L544" s="88">
        <f>SUM(F544:K544)</f>
        <v>91513.81</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349229.03</v>
      </c>
      <c r="I545" s="193">
        <f t="shared" si="40"/>
        <v>0</v>
      </c>
      <c r="J545" s="193">
        <f t="shared" si="40"/>
        <v>0</v>
      </c>
      <c r="K545" s="193">
        <f t="shared" si="40"/>
        <v>0</v>
      </c>
      <c r="L545" s="193">
        <f t="shared" si="40"/>
        <v>349229.03</v>
      </c>
      <c r="M545" s="8"/>
      <c r="N545" s="266"/>
    </row>
    <row r="546" spans="1:14" s="3" customFormat="1" ht="12.2" customHeight="1" thickTop="1" x14ac:dyDescent="0.15">
      <c r="A546" s="98" t="s">
        <v>72</v>
      </c>
      <c r="B546" s="107">
        <v>21</v>
      </c>
      <c r="C546" s="107">
        <v>21</v>
      </c>
      <c r="D546" s="158" t="s">
        <v>432</v>
      </c>
      <c r="E546" s="107"/>
      <c r="F546" s="89">
        <f>F525+F530+F535+F540+F545</f>
        <v>2950345.12</v>
      </c>
      <c r="G546" s="89">
        <f t="shared" ref="G546:L546" si="41">G525+G530+G535+G540+G545</f>
        <v>1453006.7</v>
      </c>
      <c r="H546" s="89">
        <f t="shared" si="41"/>
        <v>1565960.18</v>
      </c>
      <c r="I546" s="89">
        <f t="shared" si="41"/>
        <v>30435.66</v>
      </c>
      <c r="J546" s="89">
        <f t="shared" si="41"/>
        <v>21370.15</v>
      </c>
      <c r="K546" s="89">
        <f t="shared" si="41"/>
        <v>27180.5</v>
      </c>
      <c r="L546" s="89">
        <f t="shared" si="41"/>
        <v>6048298.3099999996</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1614149.38</v>
      </c>
      <c r="G550" s="87">
        <f>L527</f>
        <v>737416.01</v>
      </c>
      <c r="H550" s="87">
        <f>L532</f>
        <v>225987.58000000002</v>
      </c>
      <c r="I550" s="87">
        <f>L537</f>
        <v>0</v>
      </c>
      <c r="J550" s="87">
        <f>L542</f>
        <v>170725.97</v>
      </c>
      <c r="K550" s="87">
        <f>SUM(F550:J550)</f>
        <v>2748278.94</v>
      </c>
      <c r="L550" s="24" t="s">
        <v>288</v>
      </c>
      <c r="M550" s="8"/>
      <c r="N550" s="266"/>
    </row>
    <row r="551" spans="1:14" s="3" customFormat="1" ht="12.2" customHeight="1" x14ac:dyDescent="0.15">
      <c r="A551" s="22" t="s">
        <v>634</v>
      </c>
      <c r="B551" s="75">
        <v>21</v>
      </c>
      <c r="C551" s="75">
        <v>23</v>
      </c>
      <c r="D551" s="2" t="s">
        <v>432</v>
      </c>
      <c r="E551" s="75"/>
      <c r="F551" s="87">
        <f>L523</f>
        <v>1027304.3400000001</v>
      </c>
      <c r="G551" s="87">
        <f>L528</f>
        <v>810315.68</v>
      </c>
      <c r="H551" s="87">
        <f>L533</f>
        <v>225987.58000000002</v>
      </c>
      <c r="I551" s="87">
        <f>L538</f>
        <v>0</v>
      </c>
      <c r="J551" s="87">
        <f>L543</f>
        <v>86989.25</v>
      </c>
      <c r="K551" s="87">
        <f>SUM(F551:J551)</f>
        <v>2150596.85</v>
      </c>
      <c r="L551" s="24" t="s">
        <v>288</v>
      </c>
      <c r="M551" s="8"/>
      <c r="N551" s="266"/>
    </row>
    <row r="552" spans="1:14" s="3" customFormat="1" ht="12.2" customHeight="1" thickBot="1" x14ac:dyDescent="0.2">
      <c r="A552" s="22" t="s">
        <v>635</v>
      </c>
      <c r="B552" s="75">
        <v>21</v>
      </c>
      <c r="C552" s="75">
        <v>24</v>
      </c>
      <c r="D552" s="2" t="s">
        <v>432</v>
      </c>
      <c r="E552" s="75"/>
      <c r="F552" s="87">
        <f>L524</f>
        <v>831921.13</v>
      </c>
      <c r="G552" s="87">
        <f>L529</f>
        <v>0</v>
      </c>
      <c r="H552" s="87">
        <f>L534</f>
        <v>225987.58000000002</v>
      </c>
      <c r="I552" s="87">
        <f>L539</f>
        <v>0</v>
      </c>
      <c r="J552" s="87">
        <f>L544</f>
        <v>91513.81</v>
      </c>
      <c r="K552" s="87">
        <f>SUM(F552:J552)</f>
        <v>1149422.52</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3473374.8499999996</v>
      </c>
      <c r="G553" s="89">
        <f t="shared" si="42"/>
        <v>1547731.69</v>
      </c>
      <c r="H553" s="89">
        <f t="shared" si="42"/>
        <v>677962.74</v>
      </c>
      <c r="I553" s="89">
        <f t="shared" si="42"/>
        <v>0</v>
      </c>
      <c r="J553" s="89">
        <f t="shared" si="42"/>
        <v>349229.03</v>
      </c>
      <c r="K553" s="89">
        <f t="shared" si="42"/>
        <v>6048298.3100000005</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f>2340824.48+2791227.8</f>
        <v>5132052.2799999993</v>
      </c>
      <c r="I576" s="87">
        <f>SUM(F576:H576)</f>
        <v>5132052.2799999993</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v>1609738.03</v>
      </c>
      <c r="I578" s="87">
        <f t="shared" si="47"/>
        <v>1609738.03</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v>324938.51</v>
      </c>
      <c r="I580" s="87">
        <f t="shared" si="47"/>
        <v>324938.51</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v>91196.83</v>
      </c>
      <c r="I582" s="87">
        <f t="shared" si="47"/>
        <v>91196.83</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64072.3</v>
      </c>
      <c r="G583" s="18">
        <v>86123.06</v>
      </c>
      <c r="H583" s="18">
        <v>415785.79</v>
      </c>
      <c r="I583" s="87">
        <f t="shared" si="47"/>
        <v>565981.14999999991</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216572.1-5619.5</f>
        <v>210952.6</v>
      </c>
      <c r="I592" s="18">
        <f>215933.81-5619.5</f>
        <v>210314.31</v>
      </c>
      <c r="J592" s="18">
        <v>241042.38</v>
      </c>
      <c r="K592" s="104">
        <f t="shared" ref="K592:K598" si="48">SUM(H592:J592)</f>
        <v>662309.29</v>
      </c>
      <c r="L592" s="24" t="s">
        <v>288</v>
      </c>
      <c r="M592" s="8"/>
      <c r="N592" s="266"/>
    </row>
    <row r="593" spans="1:14" s="3" customFormat="1" ht="12.2" customHeight="1" x14ac:dyDescent="0.15">
      <c r="A593" s="3" t="s">
        <v>638</v>
      </c>
      <c r="B593" s="75">
        <v>23</v>
      </c>
      <c r="C593" s="75">
        <v>2</v>
      </c>
      <c r="D593" s="2" t="s">
        <v>432</v>
      </c>
      <c r="E593" s="75"/>
      <c r="F593" s="102">
        <v>2722</v>
      </c>
      <c r="G593" s="103" t="s">
        <v>97</v>
      </c>
      <c r="H593" s="18">
        <f>83736.72+86989.25</f>
        <v>170725.97</v>
      </c>
      <c r="I593" s="18">
        <v>86989.25</v>
      </c>
      <c r="J593" s="18">
        <v>91513.81</v>
      </c>
      <c r="K593" s="104">
        <f t="shared" si="48"/>
        <v>349229.03</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v>3779</v>
      </c>
      <c r="J595" s="18"/>
      <c r="K595" s="104">
        <f t="shared" si="48"/>
        <v>3779</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f>1517.68</f>
        <v>1517.68</v>
      </c>
      <c r="I596" s="18">
        <v>3670.62</v>
      </c>
      <c r="J596" s="18"/>
      <c r="K596" s="104">
        <f t="shared" si="48"/>
        <v>5188.3</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383196.25</v>
      </c>
      <c r="I599" s="108">
        <f>SUM(I592:I598)</f>
        <v>304753.18</v>
      </c>
      <c r="J599" s="108">
        <f>SUM(J592:J598)</f>
        <v>332556.19</v>
      </c>
      <c r="K599" s="108">
        <f>SUM(K592:K598)</f>
        <v>1020505.6200000001</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105143.72+2281.74</f>
        <v>107425.46</v>
      </c>
      <c r="I605" s="18">
        <f>107806.89+2281.73</f>
        <v>110088.62</v>
      </c>
      <c r="J605" s="18">
        <v>912</v>
      </c>
      <c r="K605" s="104">
        <f>SUM(H605:J605)</f>
        <v>218426.08000000002</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107425.46</v>
      </c>
      <c r="I606" s="108">
        <f>SUM(I603:I605)</f>
        <v>110088.62</v>
      </c>
      <c r="J606" s="108">
        <f>SUM(J603:J605)</f>
        <v>912</v>
      </c>
      <c r="K606" s="108">
        <f>SUM(K603:K605)</f>
        <v>218426.08000000002</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1696116.62</v>
      </c>
      <c r="H618" s="109">
        <f>SUM(F52)</f>
        <v>1696116.62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1558756.84</v>
      </c>
      <c r="H622" s="109">
        <f>SUM(J52)</f>
        <v>1558756.84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1351834.62</v>
      </c>
      <c r="H623" s="109">
        <f>F477</f>
        <v>1351834.6199999973</v>
      </c>
      <c r="I623" s="121" t="s">
        <v>101</v>
      </c>
      <c r="J623" s="109">
        <f t="shared" ref="J623:J656" si="50">G623-H623</f>
        <v>2.7939677238464355E-9</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1558756.84</v>
      </c>
      <c r="H627" s="109">
        <f>J477</f>
        <v>1558756.84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24079594.399999999</v>
      </c>
      <c r="H628" s="104">
        <f>SUM(F469)</f>
        <v>24079594.399999999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258728</v>
      </c>
      <c r="H629" s="104">
        <f>SUM(G469)</f>
        <v>258728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436428.88</v>
      </c>
      <c r="H630" s="104">
        <f>SUM(H469)</f>
        <v>436428.88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170889.25</v>
      </c>
      <c r="H632" s="104">
        <f>SUM(J469)</f>
        <v>170889.25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23680511.890000001</v>
      </c>
      <c r="H633" s="104">
        <f>SUM(F473)</f>
        <v>23680511.890000001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436428.88000000006</v>
      </c>
      <c r="H634" s="104">
        <f>SUM(H473)</f>
        <v>436428.88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258728</v>
      </c>
      <c r="H636" s="104">
        <f>SUM(G473)</f>
        <v>258728</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170889.25</v>
      </c>
      <c r="H638" s="164">
        <f>SUM(J469)</f>
        <v>170889.25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1558756.84</v>
      </c>
      <c r="H640" s="104">
        <f>SUM(F462)</f>
        <v>1558756.84</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1558756.84</v>
      </c>
      <c r="H643" s="104">
        <f>SUM(I462)</f>
        <v>1558756.84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20889.25</v>
      </c>
      <c r="H645" s="104">
        <f>H409</f>
        <v>20889.25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150000</v>
      </c>
      <c r="H646" s="104">
        <f>G409</f>
        <v>150000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170889.25</v>
      </c>
      <c r="H647" s="104">
        <f>L409</f>
        <v>170889.25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1020505.6200000001</v>
      </c>
      <c r="H648" s="104">
        <f>L209+L227+L245</f>
        <v>1020505.6199999999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218426.08000000002</v>
      </c>
      <c r="H649" s="104">
        <f>(J258+J339)-(J256+J337)</f>
        <v>218426.08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383196.25</v>
      </c>
      <c r="H650" s="104">
        <f>H599</f>
        <v>383196.25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304753.18</v>
      </c>
      <c r="H651" s="104">
        <f>I599</f>
        <v>304753.18</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332556.19</v>
      </c>
      <c r="H652" s="104">
        <f>J599</f>
        <v>332556.19</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58315</v>
      </c>
      <c r="H653" s="104">
        <f>K264+K346</f>
        <v>58315</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150000</v>
      </c>
      <c r="H656" s="104">
        <f>K267+K348</f>
        <v>150000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8274144.2233333336</v>
      </c>
      <c r="G661" s="19">
        <f>(L230+L310+L360)</f>
        <v>6861325.3833333328</v>
      </c>
      <c r="H661" s="19">
        <f>(L248+L329+L361)</f>
        <v>8203136.663333334</v>
      </c>
      <c r="I661" s="19">
        <f>SUM(F661:H661)</f>
        <v>23338606.27</v>
      </c>
      <c r="J661" s="13"/>
      <c r="K661" s="13"/>
      <c r="L661" s="13"/>
      <c r="M661" s="9"/>
    </row>
    <row r="662" spans="1:13" s="3" customFormat="1" ht="12.2" customHeight="1" x14ac:dyDescent="0.2">
      <c r="A662" s="1" t="s">
        <v>127</v>
      </c>
      <c r="F662" s="19">
        <f>(L359/IF(SUM(L359:L361)=0,1,SUM(L359:L361))*(SUM(G97:G110)))</f>
        <v>68340</v>
      </c>
      <c r="G662" s="19">
        <f>(L360/IF(SUM(L359:L361)=0,1,SUM(L359:L361))*(SUM(G97:G110)))</f>
        <v>68340</v>
      </c>
      <c r="H662" s="19">
        <f>(L361/IF(SUM(L359:L361)=0,1,SUM(L359:L361))*(SUM(G97:G110)))</f>
        <v>0</v>
      </c>
      <c r="I662" s="19">
        <f>SUM(F662:H662)</f>
        <v>136680</v>
      </c>
      <c r="J662"/>
      <c r="K662" s="13"/>
      <c r="L662" s="13"/>
      <c r="M662" s="8"/>
    </row>
    <row r="663" spans="1:13" s="3" customFormat="1" ht="12.2" customHeight="1" x14ac:dyDescent="0.2">
      <c r="A663" s="1" t="s">
        <v>128</v>
      </c>
      <c r="F663" s="19">
        <f>(L209+L288)-(J209+J288)</f>
        <v>386448.89</v>
      </c>
      <c r="G663" s="19">
        <f>(L227+L307)-(J227+J307)</f>
        <v>304753.18</v>
      </c>
      <c r="H663" s="19">
        <f>(L245+L326)-(J245+J326)</f>
        <v>332556.19</v>
      </c>
      <c r="I663" s="19">
        <f>SUM(F663:H663)</f>
        <v>1023758.26</v>
      </c>
      <c r="J663"/>
      <c r="K663" s="13"/>
      <c r="L663" s="13"/>
      <c r="M663" s="9"/>
    </row>
    <row r="664" spans="1:13" s="3" customFormat="1" ht="12.2" customHeight="1" x14ac:dyDescent="0.15">
      <c r="A664" s="198" t="s">
        <v>129</v>
      </c>
      <c r="B664" s="169"/>
      <c r="C664" s="169"/>
      <c r="D664" s="169"/>
      <c r="E664" s="169"/>
      <c r="F664" s="199">
        <f>SUM(F576:F588)+SUM(H603:H605)+SUM(L612)</f>
        <v>171497.76</v>
      </c>
      <c r="G664" s="199">
        <f>SUM(G576:G588)+SUM(I603:I605)+L613</f>
        <v>196211.68</v>
      </c>
      <c r="H664" s="199">
        <f>SUM(H576:H588)+SUM(J603:J605)+L614</f>
        <v>7574623.4399999995</v>
      </c>
      <c r="I664" s="19">
        <f>SUM(F664:H664)</f>
        <v>7942332.8799999999</v>
      </c>
      <c r="J664" s="13"/>
      <c r="K664" s="13"/>
      <c r="L664" s="13"/>
      <c r="M664" s="9"/>
    </row>
    <row r="665" spans="1:13" s="3" customFormat="1" ht="12.2" customHeight="1" x14ac:dyDescent="0.15">
      <c r="A665" s="1" t="s">
        <v>130</v>
      </c>
      <c r="F665" s="19">
        <f>F661-SUM(F662:F664)</f>
        <v>7647857.5733333332</v>
      </c>
      <c r="G665" s="19">
        <f>G661-SUM(G662:G664)</f>
        <v>6292020.5233333325</v>
      </c>
      <c r="H665" s="19">
        <f>H661-SUM(H662:H664)</f>
        <v>295957.03333333414</v>
      </c>
      <c r="I665" s="19">
        <f>I661-SUM(I662:I664)</f>
        <v>14235835.129999999</v>
      </c>
      <c r="J665" s="13"/>
      <c r="K665" s="13"/>
      <c r="L665" s="13"/>
      <c r="M665" s="8"/>
    </row>
    <row r="666" spans="1:13" s="3" customFormat="1" ht="12.2" customHeight="1" x14ac:dyDescent="0.2">
      <c r="A666" s="1" t="s">
        <v>131</v>
      </c>
      <c r="F666" s="246">
        <f>17.27+100.2+398.35</f>
        <v>515.82000000000005</v>
      </c>
      <c r="G666" s="247">
        <v>417.61</v>
      </c>
      <c r="H666" s="247"/>
      <c r="I666" s="19">
        <f>SUM(F666:H666)</f>
        <v>933.43000000000006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14826.6</v>
      </c>
      <c r="G668" s="19">
        <f>ROUND(G665/G666,2)</f>
        <v>15066.74</v>
      </c>
      <c r="H668" s="19" t="e">
        <f>ROUND(H665/H666,2)</f>
        <v>#DIV/0!</v>
      </c>
      <c r="I668" s="19">
        <f>ROUND(I665/I666,2)</f>
        <v>15251.1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-295957.03000000003</v>
      </c>
      <c r="I670" s="19">
        <f>SUM(F670:H670)</f>
        <v>-295957.03000000003</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14826.6</v>
      </c>
      <c r="G673" s="19">
        <f>ROUND((G665+G670)/(G666+G671),2)</f>
        <v>15066.74</v>
      </c>
      <c r="H673" s="19" t="e">
        <f>ROUND((H665+H670)/(H666+H671),2)</f>
        <v>#DIV/0!</v>
      </c>
      <c r="I673" s="19">
        <f>ROUND((I665+I670)/(I666+I671),2)</f>
        <v>14934.04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6" sqref="B36"/>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Barrington School District</v>
      </c>
      <c r="C5" s="344"/>
      <c r="D5" s="344"/>
      <c r="E5" s="344"/>
      <c r="F5" s="344"/>
    </row>
    <row r="8" spans="1:9" ht="18" x14ac:dyDescent="0.25">
      <c r="A8" s="323" t="s">
        <v>1591</v>
      </c>
      <c r="F8" s="330" t="s">
        <v>1609</v>
      </c>
    </row>
    <row r="9" spans="1:9" ht="15" x14ac:dyDescent="0.2">
      <c r="A9" s="321" t="s">
        <v>1592</v>
      </c>
      <c r="B9" s="324">
        <f>'DOE25'!G97</f>
        <v>136680</v>
      </c>
      <c r="F9" s="321" t="s">
        <v>1605</v>
      </c>
    </row>
    <row r="10" spans="1:9" ht="15" x14ac:dyDescent="0.2">
      <c r="A10" s="321" t="s">
        <v>1593</v>
      </c>
      <c r="B10" s="324">
        <f>'DOE25'!G112-'DOE25'!G97</f>
        <v>0</v>
      </c>
      <c r="F10" s="321" t="s">
        <v>1606</v>
      </c>
    </row>
    <row r="11" spans="1:9" ht="15" x14ac:dyDescent="0.2">
      <c r="A11" s="321" t="s">
        <v>1594</v>
      </c>
      <c r="B11" s="324">
        <f>'DOE25'!G140</f>
        <v>3880.87</v>
      </c>
      <c r="F11" s="321" t="s">
        <v>1607</v>
      </c>
    </row>
    <row r="12" spans="1:9" ht="15" x14ac:dyDescent="0.2">
      <c r="A12" s="321" t="s">
        <v>1595</v>
      </c>
      <c r="B12" s="324">
        <f>'DOE25'!G170</f>
        <v>59852.13</v>
      </c>
      <c r="F12" s="321" t="s">
        <v>1608</v>
      </c>
    </row>
    <row r="13" spans="1:9" ht="15" x14ac:dyDescent="0.2">
      <c r="A13" s="321" t="s">
        <v>1596</v>
      </c>
      <c r="B13" s="324">
        <f>'DOE25'!G193-'DOE25'!G180</f>
        <v>0</v>
      </c>
      <c r="F13" s="321" t="s">
        <v>1618</v>
      </c>
    </row>
    <row r="14" spans="1:9" ht="18" x14ac:dyDescent="0.25">
      <c r="A14" s="323" t="s">
        <v>732</v>
      </c>
      <c r="B14" s="325">
        <f>SUM(B9:B13)</f>
        <v>200413</v>
      </c>
    </row>
    <row r="16" spans="1:9" ht="18" x14ac:dyDescent="0.25">
      <c r="A16" s="323" t="s">
        <v>786</v>
      </c>
      <c r="F16" s="330" t="s">
        <v>1610</v>
      </c>
    </row>
    <row r="17" spans="1:6" ht="15" x14ac:dyDescent="0.2">
      <c r="A17" s="321" t="s">
        <v>1597</v>
      </c>
      <c r="B17" s="324">
        <f>'DOE25'!L363-'DOE25'!L362</f>
        <v>258728</v>
      </c>
      <c r="F17" s="321" t="s">
        <v>1611</v>
      </c>
    </row>
    <row r="18" spans="1:6" ht="15" x14ac:dyDescent="0.2">
      <c r="A18" s="321" t="s">
        <v>1598</v>
      </c>
      <c r="B18" s="338"/>
      <c r="F18" s="330" t="s">
        <v>1637</v>
      </c>
    </row>
    <row r="19" spans="1:6" ht="18" x14ac:dyDescent="0.25">
      <c r="A19" s="323" t="s">
        <v>725</v>
      </c>
      <c r="B19" s="325">
        <f>SUM(B17:B18)</f>
        <v>258728</v>
      </c>
    </row>
    <row r="21" spans="1:6" ht="18.75" thickBot="1" x14ac:dyDescent="0.3">
      <c r="A21" s="323" t="s">
        <v>1599</v>
      </c>
    </row>
    <row r="22" spans="1:6" ht="18.75" thickTop="1" x14ac:dyDescent="0.25">
      <c r="A22" s="323" t="s">
        <v>1600</v>
      </c>
      <c r="B22" s="329">
        <f>B14-B19</f>
        <v>-58315</v>
      </c>
      <c r="F22" s="321" t="s">
        <v>1612</v>
      </c>
    </row>
    <row r="26" spans="1:6" ht="18" x14ac:dyDescent="0.25">
      <c r="A26" s="323" t="s">
        <v>186</v>
      </c>
    </row>
    <row r="27" spans="1:6" ht="15" x14ac:dyDescent="0.2">
      <c r="A27" s="321" t="s">
        <v>1601</v>
      </c>
      <c r="B27" s="324">
        <f>'DOE25'!G180</f>
        <v>58315</v>
      </c>
      <c r="F27" s="321" t="s">
        <v>1613</v>
      </c>
    </row>
    <row r="28" spans="1:6" ht="15" x14ac:dyDescent="0.2">
      <c r="A28" s="321" t="s">
        <v>1603</v>
      </c>
      <c r="B28" s="324">
        <f>'DOE25'!L362</f>
        <v>0</v>
      </c>
      <c r="F28" s="321" t="s">
        <v>1614</v>
      </c>
    </row>
    <row r="31" spans="1:6" ht="15" x14ac:dyDescent="0.2">
      <c r="A31" s="321" t="s">
        <v>1640</v>
      </c>
      <c r="B31" s="324">
        <f>'DOE25'!G466</f>
        <v>3891.04</v>
      </c>
      <c r="F31" s="321" t="s">
        <v>1615</v>
      </c>
    </row>
    <row r="33" spans="1:6" ht="15" x14ac:dyDescent="0.2">
      <c r="A33" s="321" t="s">
        <v>1641</v>
      </c>
      <c r="B33" s="324">
        <f>'DOE25'!G477</f>
        <v>0</v>
      </c>
      <c r="F33" s="321" t="s">
        <v>1616</v>
      </c>
    </row>
    <row r="36" spans="1:6" ht="15" x14ac:dyDescent="0.2">
      <c r="A36" s="321" t="s">
        <v>1602</v>
      </c>
      <c r="B36" s="339">
        <v>26791.759999999998</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zoomScale="150" zoomScaleNormal="150" workbookViewId="0">
      <selection activeCell="C21" sqref="C21"/>
    </sheetView>
  </sheetViews>
  <sheetFormatPr defaultColWidth="8.6640625" defaultRowHeight="11.25" x14ac:dyDescent="0.2"/>
  <cols>
    <col min="1" max="1" width="26.6640625" customWidth="1"/>
    <col min="2" max="2" width="33.6640625" customWidth="1"/>
    <col min="3" max="3" width="29.5" customWidth="1"/>
  </cols>
  <sheetData>
    <row r="1" spans="1:3" x14ac:dyDescent="0.2">
      <c r="A1" s="233" t="s">
        <v>781</v>
      </c>
      <c r="B1" s="232" t="str">
        <f>'DOE25'!A2</f>
        <v>Barrington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3935192.93</v>
      </c>
      <c r="C9" s="229">
        <f>'DOE25'!G198+'DOE25'!G216+'DOE25'!G234+'DOE25'!G277+'DOE25'!G296+'DOE25'!G315</f>
        <v>1913581.05</v>
      </c>
    </row>
    <row r="10" spans="1:3" x14ac:dyDescent="0.2">
      <c r="A10" t="s">
        <v>775</v>
      </c>
      <c r="B10" s="240">
        <f>6994.67+189170.58+1481428.32+306535.57+1615643.85</f>
        <v>3599772.99</v>
      </c>
      <c r="C10" s="240">
        <v>1849086.43</v>
      </c>
    </row>
    <row r="11" spans="1:3" x14ac:dyDescent="0.2">
      <c r="A11" t="s">
        <v>776</v>
      </c>
      <c r="B11" s="240">
        <f>998+174999.82+33158.28+12567.7+31767.45</f>
        <v>253491.25000000003</v>
      </c>
      <c r="C11" s="240">
        <f>19392.08+29250</f>
        <v>48642.080000000002</v>
      </c>
    </row>
    <row r="12" spans="1:3" x14ac:dyDescent="0.2">
      <c r="A12" t="s">
        <v>777</v>
      </c>
      <c r="B12" s="240">
        <v>81928.69</v>
      </c>
      <c r="C12" s="240">
        <f>6267.54+9585</f>
        <v>15852.54</v>
      </c>
    </row>
    <row r="13" spans="1:3" x14ac:dyDescent="0.2">
      <c r="A13" t="str">
        <f>IF(B9=B13,IF(C9=C13,"Check Total OK","Check Total Error"),"Check Total Error")</f>
        <v>Check Total OK</v>
      </c>
      <c r="B13" s="231">
        <f>SUM(B10:B12)</f>
        <v>3935192.93</v>
      </c>
      <c r="C13" s="231">
        <f>SUM(C10:C12)</f>
        <v>1913581.05</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1571190.57</v>
      </c>
      <c r="C18" s="229">
        <f>'DOE25'!G199+'DOE25'!G217+'DOE25'!G235+'DOE25'!G278+'DOE25'!G297+'DOE25'!G316</f>
        <v>756224.64</v>
      </c>
    </row>
    <row r="19" spans="1:3" x14ac:dyDescent="0.2">
      <c r="A19" t="s">
        <v>775</v>
      </c>
      <c r="B19" s="240">
        <f>249852.23+46999.94+262537.88+212447.6</f>
        <v>771837.65</v>
      </c>
      <c r="C19" s="240">
        <f>180668.32+59223.56+157028.41+2739.51+2670.27+855+289.5+690+1877.06+682.33+1634.9+2075.75</f>
        <v>410434.6100000001</v>
      </c>
    </row>
    <row r="20" spans="1:3" x14ac:dyDescent="0.2">
      <c r="A20" t="s">
        <v>776</v>
      </c>
      <c r="B20" s="240">
        <f>363592.53+98328.39+308757.5+1570+168+32</f>
        <v>772448.42</v>
      </c>
      <c r="C20" s="240">
        <v>340583</v>
      </c>
    </row>
    <row r="21" spans="1:3" x14ac:dyDescent="0.2">
      <c r="A21" t="s">
        <v>777</v>
      </c>
      <c r="B21" s="240">
        <v>26904.5</v>
      </c>
      <c r="C21" s="240">
        <f>2059.19+3147.84</f>
        <v>5207.0300000000007</v>
      </c>
    </row>
    <row r="22" spans="1:3" x14ac:dyDescent="0.2">
      <c r="A22" t="str">
        <f>IF(B18=B22,IF(C18=C22,"Check Total OK","Check Total Error"),"Check Total Error")</f>
        <v>Check Total OK</v>
      </c>
      <c r="B22" s="231">
        <f>SUM(B19:B21)</f>
        <v>1571190.57</v>
      </c>
      <c r="C22" s="231">
        <f>SUM(C19:C21)</f>
        <v>756224.64000000013</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37395.68</v>
      </c>
      <c r="C36" s="235">
        <f>'DOE25'!G201+'DOE25'!G219+'DOE25'!G237+'DOE25'!G280+'DOE25'!G299+'DOE25'!G318</f>
        <v>12873.45</v>
      </c>
    </row>
    <row r="37" spans="1:3" x14ac:dyDescent="0.2">
      <c r="A37" t="s">
        <v>775</v>
      </c>
      <c r="B37" s="240">
        <v>37395.68</v>
      </c>
      <c r="C37" s="240">
        <v>12873.45</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37395.68</v>
      </c>
      <c r="C40" s="231">
        <f>SUM(C37:C39)</f>
        <v>12873.45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50" zoomScaleNormal="150" workbookViewId="0">
      <pane ySplit="4" topLeftCell="A5" activePane="bottomLeft" state="frozen"/>
      <selection activeCell="F46" sqref="F46"/>
      <selection pane="bottomLeft" activeCell="D12" sqref="D12"/>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1.1640625" customWidth="1"/>
    <col min="7" max="7" width="17.6640625" customWidth="1"/>
    <col min="8" max="8" width="17.1640625" customWidth="1"/>
    <col min="9" max="9" width="15.6640625" customWidth="1"/>
  </cols>
  <sheetData>
    <row r="1" spans="1:9" x14ac:dyDescent="0.2">
      <c r="A1" s="347" t="s">
        <v>894</v>
      </c>
      <c r="B1" s="351"/>
      <c r="C1" s="351"/>
      <c r="D1" s="351"/>
      <c r="E1" s="351"/>
      <c r="F1" s="351"/>
      <c r="G1" s="351"/>
      <c r="H1" s="351"/>
      <c r="I1" s="181"/>
    </row>
    <row r="2" spans="1:9" x14ac:dyDescent="0.2">
      <c r="A2" s="33" t="s">
        <v>713</v>
      </c>
      <c r="B2" s="260" t="str">
        <f>'DOE25'!A2</f>
        <v>Barrington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15978132.17</v>
      </c>
      <c r="D5" s="20">
        <f>SUM('DOE25'!L198:L201)+SUM('DOE25'!L216:L219)+SUM('DOE25'!L234:L237)-F5-G5-H5</f>
        <v>15957827.77</v>
      </c>
      <c r="E5" s="243"/>
      <c r="F5" s="244"/>
      <c r="G5" s="53">
        <f>SUM('DOE25'!J198:J201)+SUM('DOE25'!J216:J219)+SUM('DOE25'!J234:J237)</f>
        <v>17067.400000000001</v>
      </c>
      <c r="H5" s="53">
        <f>SUM('DOE25'!K198:K201)+SUM('DOE25'!K216:K219)+SUM('DOE25'!K234:K237)</f>
        <v>3237</v>
      </c>
      <c r="I5" s="256"/>
    </row>
    <row r="6" spans="1:9" x14ac:dyDescent="0.2">
      <c r="A6" s="32">
        <v>2100</v>
      </c>
      <c r="B6" t="s">
        <v>796</v>
      </c>
      <c r="C6" s="276">
        <f t="shared" si="0"/>
        <v>1547731.69</v>
      </c>
      <c r="D6" s="20">
        <f>'DOE25'!L203+'DOE25'!L221+'DOE25'!L239-F6-G6-H6</f>
        <v>1537220.69</v>
      </c>
      <c r="E6" s="243"/>
      <c r="F6" s="244"/>
      <c r="G6" s="53">
        <f>'DOE25'!J203+'DOE25'!J221+'DOE25'!J239</f>
        <v>1566.75</v>
      </c>
      <c r="H6" s="53">
        <f>'DOE25'!K203+'DOE25'!K221+'DOE25'!K239</f>
        <v>8944.25</v>
      </c>
      <c r="I6" s="256"/>
    </row>
    <row r="7" spans="1:9" x14ac:dyDescent="0.2">
      <c r="A7" s="32">
        <v>2200</v>
      </c>
      <c r="B7" t="s">
        <v>821</v>
      </c>
      <c r="C7" s="276">
        <f t="shared" si="0"/>
        <v>868877.94</v>
      </c>
      <c r="D7" s="20">
        <f>'DOE25'!L204+'DOE25'!L222+'DOE25'!L240-F7-G7-H7</f>
        <v>708938.17999999993</v>
      </c>
      <c r="E7" s="243"/>
      <c r="F7" s="244"/>
      <c r="G7" s="53">
        <f>'DOE25'!J204+'DOE25'!J222+'DOE25'!J240</f>
        <v>113465.26000000001</v>
      </c>
      <c r="H7" s="53">
        <f>'DOE25'!K204+'DOE25'!K222+'DOE25'!K240</f>
        <v>46474.5</v>
      </c>
      <c r="I7" s="256"/>
    </row>
    <row r="8" spans="1:9" x14ac:dyDescent="0.2">
      <c r="A8" s="32">
        <v>2300</v>
      </c>
      <c r="B8" t="s">
        <v>797</v>
      </c>
      <c r="C8" s="276">
        <f t="shared" si="0"/>
        <v>338015.14</v>
      </c>
      <c r="D8" s="243"/>
      <c r="E8" s="20">
        <f>'DOE25'!L205+'DOE25'!L223+'DOE25'!L241-F8-G8-H8-D9-D11</f>
        <v>317042.88</v>
      </c>
      <c r="F8" s="244"/>
      <c r="G8" s="53">
        <f>'DOE25'!J205+'DOE25'!J223+'DOE25'!J241</f>
        <v>2736</v>
      </c>
      <c r="H8" s="53">
        <f>'DOE25'!K205+'DOE25'!K223+'DOE25'!K241</f>
        <v>18236.260000000002</v>
      </c>
      <c r="I8" s="256"/>
    </row>
    <row r="9" spans="1:9" ht="14.25" x14ac:dyDescent="0.2">
      <c r="A9" s="32">
        <v>2310</v>
      </c>
      <c r="B9" s="185" t="s">
        <v>890</v>
      </c>
      <c r="C9" s="276">
        <f t="shared" si="0"/>
        <v>80853.64</v>
      </c>
      <c r="D9" s="244">
        <v>80853.64</v>
      </c>
      <c r="E9" s="243"/>
      <c r="F9" s="253"/>
      <c r="G9" s="253"/>
      <c r="H9" s="253"/>
      <c r="I9" s="256"/>
    </row>
    <row r="10" spans="1:9" ht="14.25" x14ac:dyDescent="0.2">
      <c r="A10" s="32">
        <v>2317</v>
      </c>
      <c r="B10" s="185" t="s">
        <v>891</v>
      </c>
      <c r="C10" s="276">
        <f t="shared" si="0"/>
        <v>15150</v>
      </c>
      <c r="D10" s="243"/>
      <c r="E10" s="244">
        <v>15150</v>
      </c>
      <c r="F10" s="253"/>
      <c r="G10" s="253"/>
      <c r="H10" s="253"/>
      <c r="I10" s="256"/>
    </row>
    <row r="11" spans="1:9" ht="14.25" x14ac:dyDescent="0.2">
      <c r="A11" s="32">
        <v>2321</v>
      </c>
      <c r="B11" s="185" t="s">
        <v>892</v>
      </c>
      <c r="C11" s="276">
        <f t="shared" si="0"/>
        <v>259094</v>
      </c>
      <c r="D11" s="244">
        <f>114000+97594+47500</f>
        <v>259094</v>
      </c>
      <c r="E11" s="243"/>
      <c r="F11" s="253"/>
      <c r="G11" s="253"/>
      <c r="H11" s="253"/>
      <c r="I11" s="256"/>
    </row>
    <row r="12" spans="1:9" x14ac:dyDescent="0.2">
      <c r="A12" s="32">
        <v>2400</v>
      </c>
      <c r="B12" t="s">
        <v>711</v>
      </c>
      <c r="C12" s="276">
        <f t="shared" si="0"/>
        <v>921396.54</v>
      </c>
      <c r="D12" s="20">
        <f>'DOE25'!L206+'DOE25'!L224+'DOE25'!L242-F12-G12-H12</f>
        <v>890193.71000000008</v>
      </c>
      <c r="E12" s="243"/>
      <c r="F12" s="244"/>
      <c r="G12" s="53">
        <f>'DOE25'!J206+'DOE25'!J224+'DOE25'!J242</f>
        <v>27297</v>
      </c>
      <c r="H12" s="53">
        <f>'DOE25'!K206+'DOE25'!K224+'DOE25'!K242</f>
        <v>3905.83</v>
      </c>
      <c r="I12" s="256"/>
    </row>
    <row r="13" spans="1:9" x14ac:dyDescent="0.2">
      <c r="A13" s="32">
        <v>2500</v>
      </c>
      <c r="B13" t="s">
        <v>798</v>
      </c>
      <c r="C13" s="276">
        <f t="shared" si="0"/>
        <v>211474.32</v>
      </c>
      <c r="D13" s="243"/>
      <c r="E13" s="20">
        <f>'DOE25'!L207+'DOE25'!L225+'DOE25'!L243-F13-G13-H13</f>
        <v>211474.32</v>
      </c>
      <c r="F13" s="244"/>
      <c r="G13" s="53">
        <f>'DOE25'!J207+'DOE25'!J225+'DOE25'!J243</f>
        <v>0</v>
      </c>
      <c r="H13" s="53">
        <f>'DOE25'!K207+'DOE25'!K225+'DOE25'!K243</f>
        <v>0</v>
      </c>
      <c r="I13" s="256"/>
    </row>
    <row r="14" spans="1:9" x14ac:dyDescent="0.2">
      <c r="A14" s="32">
        <v>2600</v>
      </c>
      <c r="B14" t="s">
        <v>819</v>
      </c>
      <c r="C14" s="276">
        <f t="shared" si="0"/>
        <v>1417368.33</v>
      </c>
      <c r="D14" s="20">
        <f>'DOE25'!L208+'DOE25'!L226+'DOE25'!L244-F14-G14-H14</f>
        <v>1365638.1400000001</v>
      </c>
      <c r="E14" s="243"/>
      <c r="F14" s="244"/>
      <c r="G14" s="53">
        <f>'DOE25'!J208+'DOE25'!J226+'DOE25'!J244</f>
        <v>51730.19</v>
      </c>
      <c r="H14" s="53">
        <f>'DOE25'!K208+'DOE25'!K226+'DOE25'!K244</f>
        <v>0</v>
      </c>
      <c r="I14" s="256"/>
    </row>
    <row r="15" spans="1:9" x14ac:dyDescent="0.2">
      <c r="A15" s="32">
        <v>2700</v>
      </c>
      <c r="B15" t="s">
        <v>799</v>
      </c>
      <c r="C15" s="276">
        <f t="shared" si="0"/>
        <v>1020505.6199999999</v>
      </c>
      <c r="D15" s="20">
        <f>'DOE25'!L209+'DOE25'!L227+'DOE25'!L245-F15-G15-H15</f>
        <v>0.1799999998183921</v>
      </c>
      <c r="E15" s="243"/>
      <c r="F15" s="244">
        <f>662309.11+349229.03+8967.3</f>
        <v>1020505.4400000001</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828747.5</v>
      </c>
      <c r="D25" s="243"/>
      <c r="E25" s="243"/>
      <c r="F25" s="255"/>
      <c r="G25" s="253"/>
      <c r="H25" s="253"/>
      <c r="I25" s="254">
        <f>'DOE25'!L261+'DOE25'!L262+'DOE25'!L342+'DOE25'!L343</f>
        <v>828747.5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258728</v>
      </c>
      <c r="D29" s="284">
        <f>'DOE25'!L359+'DOE25'!L360+'DOE25'!L361-'DOE25'!I368-F29-G29-H29</f>
        <v>991</v>
      </c>
      <c r="E29" s="243"/>
      <c r="F29" s="244">
        <f>256945</f>
        <v>256945</v>
      </c>
      <c r="G29" s="53">
        <f>'DOE25'!J359+'DOE25'!J360+'DOE25'!J361</f>
        <v>0</v>
      </c>
      <c r="H29" s="53">
        <f>'DOE25'!K359+'DOE25'!K360+'DOE25'!K361</f>
        <v>792</v>
      </c>
      <c r="I29" s="256"/>
    </row>
    <row r="30" spans="1:9" x14ac:dyDescent="0.2">
      <c r="A30" s="32"/>
      <c r="C30" s="277"/>
      <c r="D30" s="20"/>
      <c r="E30" s="281"/>
      <c r="F30" s="271"/>
      <c r="G30" s="53"/>
      <c r="H30" s="53"/>
      <c r="I30" s="256"/>
    </row>
    <row r="31" spans="1:9" x14ac:dyDescent="0.2">
      <c r="A31" s="32" t="s">
        <v>818</v>
      </c>
      <c r="B31" t="s">
        <v>817</v>
      </c>
      <c r="C31" s="276">
        <f>SUM(D31:I31)</f>
        <v>436428.88000000006</v>
      </c>
      <c r="D31" s="20">
        <f>'DOE25'!L291+'DOE25'!L310+'DOE25'!L329+'DOE25'!L334+'DOE25'!L335+'DOE25'!L336-F31-G31-H31</f>
        <v>431865.40000000008</v>
      </c>
      <c r="E31" s="243"/>
      <c r="F31" s="244"/>
      <c r="G31" s="53">
        <f>'DOE25'!J291+'DOE25'!J310+'DOE25'!J329+'DOE25'!J334+'DOE25'!J335+'DOE25'!J336</f>
        <v>4563.4799999999996</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21232622.710000001</v>
      </c>
      <c r="E33" s="245">
        <f t="shared" si="1"/>
        <v>543667.19999999995</v>
      </c>
      <c r="F33" s="245">
        <f t="shared" si="1"/>
        <v>1277450.44</v>
      </c>
      <c r="G33" s="245">
        <f t="shared" si="1"/>
        <v>218426.08000000002</v>
      </c>
      <c r="H33" s="245">
        <f t="shared" si="1"/>
        <v>81589.840000000011</v>
      </c>
      <c r="I33" s="245">
        <f t="shared" si="1"/>
        <v>828747.5</v>
      </c>
    </row>
    <row r="35" spans="1:9" ht="12" thickBot="1" x14ac:dyDescent="0.25">
      <c r="B35" s="251" t="s">
        <v>831</v>
      </c>
      <c r="D35" s="252">
        <f>E33</f>
        <v>543667.19999999995</v>
      </c>
      <c r="E35" s="248"/>
    </row>
    <row r="36" spans="1:9" ht="12" thickTop="1" x14ac:dyDescent="0.2">
      <c r="B36" t="s">
        <v>810</v>
      </c>
      <c r="D36" s="20">
        <f>D33</f>
        <v>21232622.710000001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7"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ColWidth="8.6640625"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6640625" customWidth="1"/>
    <col min="8" max="8" width="19.1640625" customWidth="1"/>
    <col min="9" max="9" width="42.1640625" customWidth="1"/>
    <col min="13" max="13" width="11.6640625" customWidth="1"/>
    <col min="14" max="14" width="19.5" style="32" customWidth="1"/>
    <col min="15" max="15" width="19.5" customWidth="1"/>
    <col min="16" max="16" width="31.66406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Barrington School District</v>
      </c>
      <c r="B2" s="126">
        <f>'DOE25'!B2</f>
        <v>33</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8144780.2200000007</v>
      </c>
      <c r="G4" s="303">
        <f>'DOE25'!L212+'DOE25'!L291</f>
        <v>8144780.2233333336</v>
      </c>
      <c r="H4" s="337">
        <f>F4-G4</f>
        <v>-3.3333329483866692E-3</v>
      </c>
      <c r="I4" s="309" t="str">
        <f>IF(H4=0,"","Does not match DOE25 page 7 and 11 Totals!!")</f>
        <v>Does not match DOE25 page 7 and 11 Totals!!</v>
      </c>
      <c r="N4"/>
    </row>
    <row r="5" spans="1:18" x14ac:dyDescent="0.2">
      <c r="A5" s="21" t="s">
        <v>932</v>
      </c>
      <c r="B5" s="304">
        <f>IFERROR(VLOOKUP(A5,'School Tables'!$C$3:$D$365,2,FALSE),"")</f>
        <v>22045</v>
      </c>
      <c r="C5" s="297" t="str">
        <f>IFERROR(INDEX('School Tables'!$B$3:$B$365,MATCH('School Level Expenditures'!B5,'School Tables'!$D$3:$D$365,0)),"")</f>
        <v>Barrington</v>
      </c>
      <c r="D5" s="294">
        <v>6347428.5700000003</v>
      </c>
      <c r="E5" s="294">
        <v>388219.58</v>
      </c>
      <c r="F5" s="312">
        <f>D5+E5</f>
        <v>6735648.1500000004</v>
      </c>
      <c r="G5" s="297"/>
      <c r="H5" s="297"/>
      <c r="I5" s="126"/>
      <c r="N5"/>
    </row>
    <row r="6" spans="1:18" x14ac:dyDescent="0.2">
      <c r="A6" s="21" t="s">
        <v>933</v>
      </c>
      <c r="B6" s="304">
        <f>IFERROR(VLOOKUP(A6,'School Tables'!$C$3:$D$365,2,FALSE),"")</f>
        <v>29010</v>
      </c>
      <c r="C6" s="297" t="str">
        <f>IFERROR(INDEX('School Tables'!$B$3:$B$365,MATCH('School Level Expenditures'!B6,'School Tables'!$D$3:$D$365,0)),"")</f>
        <v>Barrington</v>
      </c>
      <c r="D6" s="294">
        <v>1409132.07</v>
      </c>
      <c r="E6" s="294"/>
      <c r="F6" s="307">
        <f t="shared" ref="F6:F20" si="0">D6+E6</f>
        <v>1409132.07</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6731961.3799999999</v>
      </c>
      <c r="G24" s="303">
        <f>'DOE25'!L230+'DOE25'!L310</f>
        <v>6731961.3833333328</v>
      </c>
      <c r="H24" s="337">
        <f>F24-G24</f>
        <v>-3.3333329483866692E-3</v>
      </c>
      <c r="I24" s="309" t="str">
        <f>IF(H24=0,"","Does not match DOE25 page 8 and 12 Totals!!")</f>
        <v>Does not match DOE25 page 8 and 12 Totals!!</v>
      </c>
      <c r="N24"/>
    </row>
    <row r="25" spans="1:14" x14ac:dyDescent="0.2">
      <c r="A25" s="21" t="s">
        <v>931</v>
      </c>
      <c r="B25" s="304">
        <f>IFERROR(VLOOKUP(A25,'School Tables'!$I$3:$J$80,2,FALSE),"")</f>
        <v>22030</v>
      </c>
      <c r="C25" s="297" t="str">
        <f t="array" ref="C25">IFERROR(INDEX('School Tables'!$H$3:$H$80,MATCH('School Level Expenditures'!B25,'School Tables'!$J$3:$J$80,0)),"")</f>
        <v>Barrington</v>
      </c>
      <c r="D25" s="294">
        <f>6683752.07</f>
        <v>6683752.0700000003</v>
      </c>
      <c r="E25" s="294">
        <v>48209.31</v>
      </c>
      <c r="F25" s="307">
        <f>D25+E25</f>
        <v>6731961.3799999999</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8203136.6600000001</v>
      </c>
      <c r="G36" s="303">
        <f>'DOE25'!L248+'DOE25'!L329</f>
        <v>8203136.663333334</v>
      </c>
      <c r="H36" s="337">
        <f>F36-G36</f>
        <v>-3.3333338797092438E-3</v>
      </c>
      <c r="I36" s="309" t="str">
        <f>IF(H36=0,"","Does not match DOE25 page 9 and 13 Totals!!")</f>
        <v>Does not match DOE25 page 9 and 13 Totals!!</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8203136.6600000001</v>
      </c>
      <c r="E37" s="294"/>
      <c r="F37" s="307">
        <f>D37+E37</f>
        <v>8203136.6600000001</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150" zoomScaleNormal="150" workbookViewId="0">
      <pane ySplit="2" topLeftCell="A20" activePane="bottomLeft" state="frozen"/>
      <selection activeCell="F46" sqref="F46"/>
      <selection pane="bottomLeft" activeCell="A2" sqref="A2"/>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Barrington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1360378.18</v>
      </c>
      <c r="D8" s="95">
        <f>'DOE25'!G9</f>
        <v>0</v>
      </c>
      <c r="E8" s="95">
        <f>'DOE25'!H9</f>
        <v>0</v>
      </c>
      <c r="F8" s="95">
        <f>'DOE25'!I9</f>
        <v>0</v>
      </c>
      <c r="G8" s="95">
        <f>'DOE25'!J9</f>
        <v>1558756.84</v>
      </c>
      <c r="H8" s="124"/>
      <c r="I8" s="124"/>
    </row>
    <row r="9" spans="1:9" x14ac:dyDescent="0.2">
      <c r="A9" s="1" t="s">
        <v>140</v>
      </c>
      <c r="B9" s="6">
        <v>110</v>
      </c>
      <c r="C9" s="95">
        <f>'DOE25'!F10</f>
        <v>6964.31</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303497.13</v>
      </c>
      <c r="D11" s="95" t="str">
        <f>'DOE25'!G12</f>
        <v xml:space="preserve"> </v>
      </c>
      <c r="E11" s="95">
        <f>'DOE25'!H12</f>
        <v>0</v>
      </c>
      <c r="F11" s="95">
        <f>'DOE25'!I12</f>
        <v>0</v>
      </c>
      <c r="G11" s="95">
        <f>'DOE25'!J12</f>
        <v>0</v>
      </c>
      <c r="H11" s="124"/>
      <c r="I11" s="124"/>
    </row>
    <row r="12" spans="1:9" x14ac:dyDescent="0.2">
      <c r="A12" s="1" t="s">
        <v>143</v>
      </c>
      <c r="B12" s="6">
        <v>140</v>
      </c>
      <c r="C12" s="95">
        <f>'DOE25'!F13</f>
        <v>0</v>
      </c>
      <c r="D12" s="95" t="str">
        <f>'DOE25'!G13</f>
        <v xml:space="preserve"> </v>
      </c>
      <c r="E12" s="95">
        <f>'DOE25'!H13</f>
        <v>0</v>
      </c>
      <c r="F12" s="95">
        <f>'DOE25'!I13</f>
        <v>0</v>
      </c>
      <c r="G12" s="95">
        <f>'DOE25'!J13</f>
        <v>0</v>
      </c>
      <c r="H12" s="124"/>
      <c r="I12" s="124"/>
    </row>
    <row r="13" spans="1:9" x14ac:dyDescent="0.2">
      <c r="A13" s="1" t="s">
        <v>144</v>
      </c>
      <c r="B13" s="6">
        <v>150</v>
      </c>
      <c r="C13" s="95">
        <f>'DOE25'!F14</f>
        <v>0</v>
      </c>
      <c r="D13" s="95" t="str">
        <f>'DOE25'!G14</f>
        <v xml:space="preserve"> </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25277</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1696116.62</v>
      </c>
      <c r="D18" s="41">
        <f>SUM(D8:D17)</f>
        <v>0</v>
      </c>
      <c r="E18" s="41">
        <f>SUM(E8:E17)</f>
        <v>0</v>
      </c>
      <c r="F18" s="41">
        <f>SUM(F8:F17)</f>
        <v>0</v>
      </c>
      <c r="G18" s="41">
        <f>SUM(G8:G17)</f>
        <v>1558756.84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19973</v>
      </c>
      <c r="D21" s="95" t="str">
        <f>'DOE25'!G22</f>
        <v xml:space="preserve"> </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142668</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8343</v>
      </c>
      <c r="D27" s="95">
        <f>'DOE25'!G28</f>
        <v>0</v>
      </c>
      <c r="E27" s="95">
        <f>'DOE25'!H28</f>
        <v>0</v>
      </c>
      <c r="F27" s="95">
        <f>'DOE25'!I28</f>
        <v>0</v>
      </c>
      <c r="G27" s="24" t="s">
        <v>288</v>
      </c>
      <c r="H27" s="124"/>
      <c r="I27" s="124"/>
    </row>
    <row r="28" spans="1:9" x14ac:dyDescent="0.2">
      <c r="A28" s="1" t="s">
        <v>157</v>
      </c>
      <c r="B28" s="6">
        <v>470</v>
      </c>
      <c r="C28" s="95">
        <f>'DOE25'!F29</f>
        <v>166334</v>
      </c>
      <c r="D28" s="95">
        <f>'DOE25'!G29</f>
        <v>0</v>
      </c>
      <c r="E28" s="95">
        <f>'DOE25'!H29</f>
        <v>0</v>
      </c>
      <c r="F28" s="95">
        <f>'DOE25'!I29</f>
        <v>0</v>
      </c>
      <c r="G28" s="24" t="s">
        <v>288</v>
      </c>
      <c r="H28" s="124"/>
      <c r="I28" s="124"/>
    </row>
    <row r="29" spans="1:9" x14ac:dyDescent="0.2">
      <c r="A29" s="1" t="s">
        <v>158</v>
      </c>
      <c r="B29" s="6">
        <v>480</v>
      </c>
      <c r="C29" s="95">
        <f>'DOE25'!F30</f>
        <v>6964</v>
      </c>
      <c r="D29" s="95" t="str">
        <f>'DOE25'!G30</f>
        <v xml:space="preserve"> </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344282</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25277</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t="str">
        <f>'DOE25'!G43</f>
        <v xml:space="preserve"> </v>
      </c>
      <c r="E42" s="95">
        <f>'DOE25'!H43</f>
        <v>0</v>
      </c>
      <c r="F42" s="95">
        <f>'DOE25'!I43</f>
        <v>0</v>
      </c>
      <c r="G42" s="95">
        <f>'DOE25'!J43</f>
        <v>0</v>
      </c>
      <c r="H42" s="124"/>
      <c r="I42" s="124"/>
    </row>
    <row r="43" spans="1:9" x14ac:dyDescent="0.2">
      <c r="A43" s="1" t="s">
        <v>863</v>
      </c>
      <c r="B43" s="6">
        <v>755</v>
      </c>
      <c r="C43" s="95">
        <f>'DOE25'!F44</f>
        <v>350000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470880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1558756.84</v>
      </c>
      <c r="H48" s="124"/>
      <c r="I48" s="124"/>
    </row>
    <row r="49" spans="1:9" ht="12" thickBot="1" x14ac:dyDescent="0.25">
      <c r="A49" s="29" t="s">
        <v>883</v>
      </c>
      <c r="B49" s="71">
        <v>770</v>
      </c>
      <c r="C49" s="95">
        <f>'DOE25'!F50</f>
        <v>505677.62</v>
      </c>
      <c r="D49" s="24" t="s">
        <v>288</v>
      </c>
      <c r="E49" s="24" t="s">
        <v>288</v>
      </c>
      <c r="F49" s="24" t="s">
        <v>288</v>
      </c>
      <c r="G49" s="24" t="s">
        <v>288</v>
      </c>
      <c r="H49" s="124"/>
      <c r="I49" s="124"/>
    </row>
    <row r="50" spans="1:9" ht="12.75" thickTop="1" thickBot="1" x14ac:dyDescent="0.25">
      <c r="A50" s="38" t="s">
        <v>884</v>
      </c>
      <c r="B50" s="48"/>
      <c r="C50" s="41">
        <f>SUM(C34:C49)</f>
        <v>1351834.62</v>
      </c>
      <c r="D50" s="41">
        <f>SUM(D34:D49)</f>
        <v>0</v>
      </c>
      <c r="E50" s="41">
        <f>SUM(E34:E49)</f>
        <v>0</v>
      </c>
      <c r="F50" s="41">
        <f>SUM(F34:F49)</f>
        <v>0</v>
      </c>
      <c r="G50" s="41">
        <f>SUM(G34:G49)</f>
        <v>1558756.84</v>
      </c>
      <c r="H50" s="124"/>
      <c r="I50" s="124"/>
    </row>
    <row r="51" spans="1:9" ht="12" thickTop="1" x14ac:dyDescent="0.2">
      <c r="A51" s="38" t="s">
        <v>885</v>
      </c>
      <c r="B51" s="2"/>
      <c r="C51" s="41">
        <f>C50+C31</f>
        <v>1696116.62</v>
      </c>
      <c r="D51" s="41">
        <f>D50+D31</f>
        <v>0</v>
      </c>
      <c r="E51" s="41">
        <f>E50+E31</f>
        <v>0</v>
      </c>
      <c r="F51" s="41">
        <f>F50+F31</f>
        <v>0</v>
      </c>
      <c r="G51" s="41">
        <f>G50+G31</f>
        <v>1558756.84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16704077.960000001</v>
      </c>
      <c r="D56" s="95">
        <f>'DOE25'!G60</f>
        <v>0</v>
      </c>
      <c r="E56" s="95">
        <f>'DOE25'!H60</f>
        <v>0</v>
      </c>
      <c r="F56" s="95">
        <f>'DOE25'!I60</f>
        <v>0</v>
      </c>
      <c r="G56" s="95">
        <f>'DOE25'!J60</f>
        <v>0</v>
      </c>
      <c r="H56"/>
      <c r="I56"/>
    </row>
    <row r="57" spans="1:9" x14ac:dyDescent="0.2">
      <c r="A57" s="1" t="s">
        <v>164</v>
      </c>
      <c r="B57" s="6" t="s">
        <v>165</v>
      </c>
      <c r="C57" s="95">
        <f>'DOE25'!F79</f>
        <v>43487.78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20889.25</v>
      </c>
      <c r="H59"/>
      <c r="I59"/>
    </row>
    <row r="60" spans="1:9" x14ac:dyDescent="0.2">
      <c r="A60" s="1" t="s">
        <v>170</v>
      </c>
      <c r="B60" s="118" t="s">
        <v>171</v>
      </c>
      <c r="C60" s="24" t="s">
        <v>288</v>
      </c>
      <c r="D60" s="95">
        <f>'DOE25'!G97</f>
        <v>136680</v>
      </c>
      <c r="E60" s="24" t="s">
        <v>288</v>
      </c>
      <c r="F60" s="24" t="s">
        <v>288</v>
      </c>
      <c r="G60" s="24" t="s">
        <v>288</v>
      </c>
      <c r="H60"/>
      <c r="I60"/>
    </row>
    <row r="61" spans="1:9" ht="12" thickBot="1" x14ac:dyDescent="0.25">
      <c r="A61" s="1" t="s">
        <v>172</v>
      </c>
      <c r="B61" s="118" t="s">
        <v>173</v>
      </c>
      <c r="C61" s="95">
        <f>SUM('DOE25'!F98:F110)</f>
        <v>238673.98</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282161.76</v>
      </c>
      <c r="D62" s="130">
        <f>SUM(D57:D61)</f>
        <v>136680</v>
      </c>
      <c r="E62" s="130">
        <f>SUM(E57:E61)</f>
        <v>0</v>
      </c>
      <c r="F62" s="130">
        <f>SUM(F57:F61)</f>
        <v>0</v>
      </c>
      <c r="G62" s="130">
        <f>SUM(G57:G61)</f>
        <v>20889.25</v>
      </c>
      <c r="H62"/>
      <c r="I62"/>
    </row>
    <row r="63" spans="1:9" ht="12" thickTop="1" x14ac:dyDescent="0.2">
      <c r="A63" s="29" t="s">
        <v>175</v>
      </c>
      <c r="B63" s="6"/>
      <c r="C63" s="22">
        <f>C56+C62</f>
        <v>16986239.720000003</v>
      </c>
      <c r="D63" s="22">
        <f>D56+D62</f>
        <v>136680</v>
      </c>
      <c r="E63" s="22">
        <f>E56+E62</f>
        <v>0</v>
      </c>
      <c r="F63" s="22">
        <f>F56+F62</f>
        <v>0</v>
      </c>
      <c r="G63" s="22">
        <f>G56+G62</f>
        <v>20889.25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4468694.9800000004</v>
      </c>
      <c r="D66" s="24" t="s">
        <v>288</v>
      </c>
      <c r="E66" s="24" t="s">
        <v>288</v>
      </c>
      <c r="F66" s="24" t="s">
        <v>288</v>
      </c>
      <c r="G66" s="24" t="s">
        <v>288</v>
      </c>
      <c r="H66"/>
      <c r="I66"/>
    </row>
    <row r="67" spans="1:9" x14ac:dyDescent="0.2">
      <c r="A67" s="1" t="s">
        <v>770</v>
      </c>
      <c r="B67" s="6">
        <v>3112</v>
      </c>
      <c r="C67" s="95">
        <f>'DOE25'!F118</f>
        <v>2131126.06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12609.54</v>
      </c>
      <c r="D69" s="95">
        <f>'DOE25'!G120</f>
        <v>0</v>
      </c>
      <c r="E69" s="95">
        <f>'DOE25'!H120</f>
        <v>0</v>
      </c>
      <c r="F69" s="95">
        <f>'DOE25'!I120</f>
        <v>0</v>
      </c>
      <c r="G69" s="95">
        <f>'DOE25'!J120</f>
        <v>0</v>
      </c>
      <c r="H69"/>
      <c r="I69"/>
    </row>
    <row r="70" spans="1:9" ht="12" thickTop="1" x14ac:dyDescent="0.2">
      <c r="A70" s="29" t="s">
        <v>252</v>
      </c>
      <c r="B70" s="2"/>
      <c r="C70" s="139">
        <f>SUM(C66:C69)</f>
        <v>6612430.580000001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231529.28</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201075.82</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3880.87</v>
      </c>
      <c r="E77" s="95">
        <f>SUM('DOE25'!H131:H135)</f>
        <v>0</v>
      </c>
      <c r="F77" s="95">
        <f>SUM('DOE25'!I131:I135)</f>
        <v>0</v>
      </c>
      <c r="G77" s="95">
        <f>SUM('DOE25'!J131:J135)</f>
        <v>0</v>
      </c>
      <c r="H77"/>
      <c r="I77"/>
    </row>
    <row r="78" spans="1:9" ht="12.75" thickTop="1" thickBot="1" x14ac:dyDescent="0.25">
      <c r="A78" s="29" t="s">
        <v>259</v>
      </c>
      <c r="B78" s="6"/>
      <c r="C78" s="130">
        <f>SUM(C72:C77)</f>
        <v>432605.1</v>
      </c>
      <c r="D78" s="130">
        <f>SUM(D72:D77)</f>
        <v>3880.87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7045035.6800000006</v>
      </c>
      <c r="D81" s="130">
        <f>SUM(D79:D80)+D78+D70</f>
        <v>3880.87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48319</v>
      </c>
      <c r="D88" s="341">
        <f>SUM('DOE25'!G153:G162)</f>
        <v>59852.13</v>
      </c>
      <c r="E88" s="341">
        <f>SUM('DOE25'!H153:H162)</f>
        <v>436428.88</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48319</v>
      </c>
      <c r="D91" s="131">
        <f>SUM(D85:D90)</f>
        <v>59852.13</v>
      </c>
      <c r="E91" s="131">
        <f>SUM(E85:E90)</f>
        <v>436428.88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58315</v>
      </c>
      <c r="E96" s="95">
        <f>'DOE25'!H180</f>
        <v>0</v>
      </c>
      <c r="F96" s="95">
        <f>'DOE25'!I180</f>
        <v>0</v>
      </c>
      <c r="G96" s="95">
        <f>'DOE25'!J180</f>
        <v>150000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58315</v>
      </c>
      <c r="E103" s="86">
        <f>SUM(E93:E102)</f>
        <v>0</v>
      </c>
      <c r="F103" s="86">
        <f>SUM(F93:F102)</f>
        <v>0</v>
      </c>
      <c r="G103" s="86">
        <f>SUM(G93:G102)</f>
        <v>150000</v>
      </c>
    </row>
    <row r="104" spans="1:7" ht="12.75" thickTop="1" thickBot="1" x14ac:dyDescent="0.25">
      <c r="A104" s="33" t="s">
        <v>761</v>
      </c>
      <c r="C104" s="86">
        <f>C63+C81+C91+C103</f>
        <v>24079594.400000002</v>
      </c>
      <c r="D104" s="86">
        <f>D63+D81+D91+D103</f>
        <v>258728</v>
      </c>
      <c r="E104" s="86">
        <f>E63+E81+E91+E103</f>
        <v>436428.88</v>
      </c>
      <c r="F104" s="86">
        <f>F63+F81+F91+F103</f>
        <v>0</v>
      </c>
      <c r="G104" s="86">
        <f>G63+G81+G103</f>
        <v>170889.25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12716482.09</v>
      </c>
      <c r="D109" s="24" t="s">
        <v>288</v>
      </c>
      <c r="E109" s="95">
        <f>('DOE25'!L277)+('DOE25'!L296)+('DOE25'!L315)</f>
        <v>136311.66</v>
      </c>
      <c r="F109" s="24" t="s">
        <v>288</v>
      </c>
      <c r="G109" s="24" t="s">
        <v>288</v>
      </c>
    </row>
    <row r="110" spans="1:7" x14ac:dyDescent="0.2">
      <c r="A110" t="s">
        <v>198</v>
      </c>
      <c r="B110" s="32" t="s">
        <v>199</v>
      </c>
      <c r="C110" s="95">
        <f>('DOE25'!L199)+('DOE25'!L217)+('DOE25'!L235)</f>
        <v>3200762.6799999997</v>
      </c>
      <c r="D110" s="24" t="s">
        <v>288</v>
      </c>
      <c r="E110" s="95">
        <f>('DOE25'!L278)+('DOE25'!L297)+('DOE25'!L316)</f>
        <v>252612.17</v>
      </c>
      <c r="F110" s="24" t="s">
        <v>288</v>
      </c>
      <c r="G110" s="24" t="s">
        <v>288</v>
      </c>
    </row>
    <row r="111" spans="1:7" x14ac:dyDescent="0.2">
      <c r="A111" t="s">
        <v>200</v>
      </c>
      <c r="B111" s="32" t="s">
        <v>165</v>
      </c>
      <c r="C111" s="95">
        <f>('DOE25'!L200)+('DOE25'!L218)+('DOE25'!L236)</f>
        <v>390</v>
      </c>
      <c r="D111" s="24" t="s">
        <v>288</v>
      </c>
      <c r="E111" s="95">
        <f>('DOE25'!L279)+('DOE25'!L298)+('DOE25'!L317)</f>
        <v>0</v>
      </c>
      <c r="F111" s="24" t="s">
        <v>288</v>
      </c>
      <c r="G111" s="24" t="s">
        <v>288</v>
      </c>
    </row>
    <row r="112" spans="1:7" x14ac:dyDescent="0.2">
      <c r="A112" t="s">
        <v>201</v>
      </c>
      <c r="B112" s="32" t="s">
        <v>167</v>
      </c>
      <c r="C112" s="95">
        <f>('DOE25'!L201)+('DOE25'!L219)+('DOE25'!L237)</f>
        <v>60497.400000000009</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15978132.17</v>
      </c>
      <c r="D115" s="86">
        <f>SUM(D109:D114)</f>
        <v>0</v>
      </c>
      <c r="E115" s="86">
        <f>SUM(E109:E114)</f>
        <v>388923.83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1547731.69</v>
      </c>
      <c r="D118" s="24" t="s">
        <v>288</v>
      </c>
      <c r="E118" s="95">
        <f>+('DOE25'!L282)+('DOE25'!L301)+('DOE25'!L320)</f>
        <v>0</v>
      </c>
      <c r="F118" s="24" t="s">
        <v>288</v>
      </c>
      <c r="G118" s="24" t="s">
        <v>288</v>
      </c>
    </row>
    <row r="119" spans="1:7" x14ac:dyDescent="0.2">
      <c r="A119" t="s">
        <v>208</v>
      </c>
      <c r="B119" s="32" t="s">
        <v>209</v>
      </c>
      <c r="C119" s="95">
        <f>('DOE25'!L204)+('DOE25'!L222)+('DOE25'!L240)</f>
        <v>868877.94</v>
      </c>
      <c r="D119" s="24" t="s">
        <v>288</v>
      </c>
      <c r="E119" s="95">
        <f>+('DOE25'!L283)+('DOE25'!L302)+('DOE25'!L321)</f>
        <v>44252.41</v>
      </c>
      <c r="F119" s="24" t="s">
        <v>288</v>
      </c>
      <c r="G119" s="24" t="s">
        <v>288</v>
      </c>
    </row>
    <row r="120" spans="1:7" x14ac:dyDescent="0.2">
      <c r="A120" t="s">
        <v>210</v>
      </c>
      <c r="B120" s="32" t="s">
        <v>211</v>
      </c>
      <c r="C120" s="95">
        <f>('DOE25'!L205)+('DOE25'!L223)+('DOE25'!L241)</f>
        <v>677962.78</v>
      </c>
      <c r="D120" s="24" t="s">
        <v>288</v>
      </c>
      <c r="E120" s="95">
        <f>+('DOE25'!L284)+('DOE25'!L303)+('DOE25'!L322)</f>
        <v>0</v>
      </c>
      <c r="F120" s="24" t="s">
        <v>288</v>
      </c>
      <c r="G120" s="24" t="s">
        <v>288</v>
      </c>
    </row>
    <row r="121" spans="1:7" x14ac:dyDescent="0.2">
      <c r="A121" t="s">
        <v>212</v>
      </c>
      <c r="B121" s="32" t="s">
        <v>213</v>
      </c>
      <c r="C121" s="95">
        <f>('DOE25'!L206)+('DOE25'!L224)+('DOE25'!L242)</f>
        <v>921396.54</v>
      </c>
      <c r="D121" s="24" t="s">
        <v>288</v>
      </c>
      <c r="E121" s="95">
        <f>+('DOE25'!L285)+('DOE25'!L304)+('DOE25'!L323)</f>
        <v>0</v>
      </c>
      <c r="F121" s="24" t="s">
        <v>288</v>
      </c>
      <c r="G121" s="24" t="s">
        <v>288</v>
      </c>
    </row>
    <row r="122" spans="1:7" x14ac:dyDescent="0.2">
      <c r="A122" t="s">
        <v>214</v>
      </c>
      <c r="B122" s="32" t="s">
        <v>215</v>
      </c>
      <c r="C122" s="95">
        <f>('DOE25'!L207)+('DOE25'!L225)+('DOE25'!L243)</f>
        <v>211474.32</v>
      </c>
      <c r="D122" s="24" t="s">
        <v>288</v>
      </c>
      <c r="E122" s="95">
        <f>+('DOE25'!L286)+('DOE25'!L305)+('DOE25'!L324)</f>
        <v>0</v>
      </c>
      <c r="F122" s="24" t="s">
        <v>288</v>
      </c>
      <c r="G122" s="24" t="s">
        <v>288</v>
      </c>
    </row>
    <row r="123" spans="1:7" x14ac:dyDescent="0.2">
      <c r="A123" t="s">
        <v>216</v>
      </c>
      <c r="B123" s="32" t="s">
        <v>217</v>
      </c>
      <c r="C123" s="95">
        <f>('DOE25'!L208)+('DOE25'!L226)+('DOE25'!L244)</f>
        <v>1417368.33</v>
      </c>
      <c r="D123" s="24" t="s">
        <v>288</v>
      </c>
      <c r="E123" s="95">
        <f>+('DOE25'!L287)+('DOE25'!L306)+('DOE25'!L325)</f>
        <v>0</v>
      </c>
      <c r="F123" s="24" t="s">
        <v>288</v>
      </c>
      <c r="G123" s="24" t="s">
        <v>288</v>
      </c>
    </row>
    <row r="124" spans="1:7" x14ac:dyDescent="0.2">
      <c r="A124" t="s">
        <v>218</v>
      </c>
      <c r="B124" s="32" t="s">
        <v>219</v>
      </c>
      <c r="C124" s="95">
        <f>('DOE25'!L209)+('DOE25'!L227)+('DOE25'!L245+'DOE25'!L255)</f>
        <v>1020505.6199999999</v>
      </c>
      <c r="D124" s="24" t="s">
        <v>288</v>
      </c>
      <c r="E124" s="95">
        <f>+('DOE25'!L288)+('DOE25'!L307)+('DOE25'!L326)</f>
        <v>3252.64</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258728</v>
      </c>
      <c r="E127" s="24" t="s">
        <v>288</v>
      </c>
      <c r="F127" s="24" t="s">
        <v>288</v>
      </c>
      <c r="G127" s="24" t="s">
        <v>288</v>
      </c>
    </row>
    <row r="128" spans="1:7" ht="12.75" thickTop="1" thickBot="1" x14ac:dyDescent="0.25">
      <c r="A128" s="33" t="s">
        <v>226</v>
      </c>
      <c r="C128" s="86">
        <f>SUM(C118:C127)</f>
        <v>6665317.2200000007</v>
      </c>
      <c r="D128" s="86">
        <f>SUM(D118:D127)</f>
        <v>258728</v>
      </c>
      <c r="E128" s="86">
        <f>SUM(E118:E127)</f>
        <v>47505.05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710000</v>
      </c>
      <c r="D131" s="24" t="s">
        <v>288</v>
      </c>
      <c r="E131" s="129">
        <f>'DOE25'!L342</f>
        <v>0</v>
      </c>
      <c r="F131" s="24" t="s">
        <v>288</v>
      </c>
      <c r="G131" s="24" t="s">
        <v>288</v>
      </c>
    </row>
    <row r="132" spans="1:7" x14ac:dyDescent="0.2">
      <c r="A132" t="s">
        <v>230</v>
      </c>
      <c r="B132" s="32">
        <v>5120</v>
      </c>
      <c r="C132" s="95">
        <f>'DOE25'!L262</f>
        <v>118747.5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58315</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154917.26</v>
      </c>
      <c r="D138" s="24" t="s">
        <v>288</v>
      </c>
      <c r="E138" s="24" t="s">
        <v>288</v>
      </c>
      <c r="F138" s="24" t="s">
        <v>288</v>
      </c>
      <c r="G138" s="24" t="s">
        <v>288</v>
      </c>
    </row>
    <row r="139" spans="1:7" x14ac:dyDescent="0.2">
      <c r="A139" t="s">
        <v>239</v>
      </c>
      <c r="B139" s="32">
        <v>5252</v>
      </c>
      <c r="C139" s="95">
        <f>'DOE25'!L402</f>
        <v>15971.990000000002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-20889.25</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1037062.5</v>
      </c>
      <c r="D144" s="141">
        <f>SUM(D130:D143)</f>
        <v>0</v>
      </c>
      <c r="E144" s="141">
        <f>SUM(E130:E143)</f>
        <v>0</v>
      </c>
      <c r="F144" s="141">
        <f>SUM(F130:F143)</f>
        <v>0</v>
      </c>
      <c r="G144" s="141">
        <f>SUM(G130:G143)</f>
        <v>0</v>
      </c>
    </row>
    <row r="145" spans="1:9" ht="12.75" thickTop="1" thickBot="1" x14ac:dyDescent="0.25">
      <c r="A145" s="33" t="s">
        <v>244</v>
      </c>
      <c r="C145" s="86">
        <f>(C115+C128+C144)</f>
        <v>23680511.890000001</v>
      </c>
      <c r="D145" s="86">
        <f>(D115+D128+D144)</f>
        <v>258728</v>
      </c>
      <c r="E145" s="86">
        <f>(E115+E128+E144)</f>
        <v>436428.88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12/02</v>
      </c>
      <c r="C152" s="152">
        <f>'DOE25'!G492</f>
        <v>0</v>
      </c>
      <c r="D152" s="152">
        <f>'DOE25'!H492</f>
        <v>0</v>
      </c>
      <c r="E152" s="152">
        <f>'DOE25'!I492</f>
        <v>0</v>
      </c>
      <c r="F152" s="152">
        <f>'DOE25'!J492</f>
        <v>0</v>
      </c>
      <c r="G152" s="24" t="s">
        <v>288</v>
      </c>
    </row>
    <row r="153" spans="1:9" x14ac:dyDescent="0.2">
      <c r="A153" s="136" t="s">
        <v>29</v>
      </c>
      <c r="B153" s="152" t="str">
        <f>'DOE25'!F493</f>
        <v>10/22</v>
      </c>
      <c r="C153" s="152">
        <f>'DOE25'!G493</f>
        <v>0</v>
      </c>
      <c r="D153" s="152">
        <f>'DOE25'!H493</f>
        <v>0</v>
      </c>
      <c r="E153" s="152">
        <f>'DOE25'!I493</f>
        <v>0</v>
      </c>
      <c r="F153" s="152">
        <f>'DOE25'!J493</f>
        <v>0</v>
      </c>
      <c r="G153" s="24" t="s">
        <v>288</v>
      </c>
    </row>
    <row r="154" spans="1:9" x14ac:dyDescent="0.2">
      <c r="A154" s="136" t="s">
        <v>30</v>
      </c>
      <c r="B154" s="137">
        <f>'DOE25'!F494</f>
        <v>14144129</v>
      </c>
      <c r="C154" s="137">
        <f>'DOE25'!G494</f>
        <v>0</v>
      </c>
      <c r="D154" s="137">
        <f>'DOE25'!H494</f>
        <v>0</v>
      </c>
      <c r="E154" s="137">
        <f>'DOE25'!I494</f>
        <v>0</v>
      </c>
      <c r="F154" s="137">
        <f>'DOE25'!J494</f>
        <v>0</v>
      </c>
      <c r="G154" s="24" t="s">
        <v>288</v>
      </c>
    </row>
    <row r="155" spans="1:9" x14ac:dyDescent="0.2">
      <c r="A155" s="136" t="s">
        <v>31</v>
      </c>
      <c r="B155" s="137">
        <f>'DOE25'!F495</f>
        <v>3.7</v>
      </c>
      <c r="C155" s="137">
        <f>'DOE25'!G495</f>
        <v>0</v>
      </c>
      <c r="D155" s="137">
        <f>'DOE25'!H495</f>
        <v>0</v>
      </c>
      <c r="E155" s="137">
        <f>'DOE25'!I495</f>
        <v>0</v>
      </c>
      <c r="F155" s="137">
        <f>'DOE25'!J495</f>
        <v>0</v>
      </c>
      <c r="G155" s="24" t="s">
        <v>288</v>
      </c>
    </row>
    <row r="156" spans="1:9" x14ac:dyDescent="0.2">
      <c r="A156" s="22" t="s">
        <v>32</v>
      </c>
      <c r="B156" s="137">
        <f>'DOE25'!F496</f>
        <v>2130000</v>
      </c>
      <c r="C156" s="137">
        <f>'DOE25'!G496</f>
        <v>0</v>
      </c>
      <c r="D156" s="137">
        <f>'DOE25'!H496</f>
        <v>0</v>
      </c>
      <c r="E156" s="137">
        <f>'DOE25'!I496</f>
        <v>0</v>
      </c>
      <c r="F156" s="137">
        <f>'DOE25'!J496</f>
        <v>0</v>
      </c>
      <c r="G156" s="138">
        <f>SUM(B156:F156)</f>
        <v>2130000</v>
      </c>
    </row>
    <row r="157" spans="1:9" x14ac:dyDescent="0.2">
      <c r="A157" s="22" t="s">
        <v>33</v>
      </c>
      <c r="B157" s="137" t="str">
        <f>'DOE25'!F497</f>
        <v xml:space="preserve"> </v>
      </c>
      <c r="C157" s="137">
        <f>'DOE25'!G497</f>
        <v>0</v>
      </c>
      <c r="D157" s="137">
        <f>'DOE25'!H497</f>
        <v>0</v>
      </c>
      <c r="E157" s="137">
        <f>'DOE25'!I497</f>
        <v>0</v>
      </c>
      <c r="F157" s="137">
        <f>'DOE25'!J497</f>
        <v>0</v>
      </c>
      <c r="G157" s="138">
        <f t="shared" ref="G157:G164" si="0">SUM(B157:F157)</f>
        <v>0</v>
      </c>
    </row>
    <row r="158" spans="1:9" x14ac:dyDescent="0.2">
      <c r="A158" s="22" t="s">
        <v>34</v>
      </c>
      <c r="B158" s="137">
        <f>'DOE25'!F498</f>
        <v>710000</v>
      </c>
      <c r="C158" s="137">
        <f>'DOE25'!G498</f>
        <v>0</v>
      </c>
      <c r="D158" s="137">
        <f>'DOE25'!H498</f>
        <v>0</v>
      </c>
      <c r="E158" s="137">
        <f>'DOE25'!I498</f>
        <v>0</v>
      </c>
      <c r="F158" s="137">
        <f>'DOE25'!J498</f>
        <v>0</v>
      </c>
      <c r="G158" s="138">
        <f t="shared" si="0"/>
        <v>710000</v>
      </c>
    </row>
    <row r="159" spans="1:9" x14ac:dyDescent="0.2">
      <c r="A159" s="22" t="s">
        <v>35</v>
      </c>
      <c r="B159" s="137">
        <f>'DOE25'!F499</f>
        <v>1420000</v>
      </c>
      <c r="C159" s="137">
        <f>'DOE25'!G499</f>
        <v>0</v>
      </c>
      <c r="D159" s="137">
        <f>'DOE25'!H499</f>
        <v>0</v>
      </c>
      <c r="E159" s="137">
        <f>'DOE25'!I499</f>
        <v>0</v>
      </c>
      <c r="F159" s="137">
        <f>'DOE25'!J499</f>
        <v>0</v>
      </c>
      <c r="G159" s="138">
        <f t="shared" si="0"/>
        <v>1420000</v>
      </c>
    </row>
    <row r="160" spans="1:9" x14ac:dyDescent="0.2">
      <c r="A160" s="22" t="s">
        <v>36</v>
      </c>
      <c r="B160" s="137">
        <f>'DOE25'!F500</f>
        <v>154779</v>
      </c>
      <c r="C160" s="137">
        <f>'DOE25'!G500</f>
        <v>0</v>
      </c>
      <c r="D160" s="137">
        <f>'DOE25'!H500</f>
        <v>0</v>
      </c>
      <c r="E160" s="137">
        <f>'DOE25'!I500</f>
        <v>0</v>
      </c>
      <c r="F160" s="137">
        <f>'DOE25'!J500</f>
        <v>0</v>
      </c>
      <c r="G160" s="138">
        <f t="shared" si="0"/>
        <v>154779</v>
      </c>
    </row>
    <row r="161" spans="1:7" x14ac:dyDescent="0.2">
      <c r="A161" s="22" t="s">
        <v>37</v>
      </c>
      <c r="B161" s="137">
        <f>'DOE25'!F501</f>
        <v>1574779</v>
      </c>
      <c r="C161" s="137">
        <f>'DOE25'!G501</f>
        <v>0</v>
      </c>
      <c r="D161" s="137">
        <f>'DOE25'!H501</f>
        <v>0</v>
      </c>
      <c r="E161" s="137">
        <f>'DOE25'!I501</f>
        <v>0</v>
      </c>
      <c r="F161" s="137">
        <f>'DOE25'!J501</f>
        <v>0</v>
      </c>
      <c r="G161" s="138">
        <f t="shared" si="0"/>
        <v>1574779</v>
      </c>
    </row>
    <row r="162" spans="1:7" x14ac:dyDescent="0.2">
      <c r="A162" s="22" t="s">
        <v>38</v>
      </c>
      <c r="B162" s="137">
        <f>'DOE25'!F502</f>
        <v>710000</v>
      </c>
      <c r="C162" s="137">
        <f>'DOE25'!G502</f>
        <v>0</v>
      </c>
      <c r="D162" s="137">
        <f>'DOE25'!H502</f>
        <v>0</v>
      </c>
      <c r="E162" s="137">
        <f>'DOE25'!I502</f>
        <v>0</v>
      </c>
      <c r="F162" s="137">
        <f>'DOE25'!J502</f>
        <v>0</v>
      </c>
      <c r="G162" s="138">
        <f t="shared" si="0"/>
        <v>710000</v>
      </c>
    </row>
    <row r="163" spans="1:7" x14ac:dyDescent="0.2">
      <c r="A163" s="22" t="s">
        <v>39</v>
      </c>
      <c r="B163" s="137">
        <f>'DOE25'!F503</f>
        <v>85555</v>
      </c>
      <c r="C163" s="137">
        <f>'DOE25'!G503</f>
        <v>0</v>
      </c>
      <c r="D163" s="137">
        <f>'DOE25'!H503</f>
        <v>0</v>
      </c>
      <c r="E163" s="137">
        <f>'DOE25'!I503</f>
        <v>0</v>
      </c>
      <c r="F163" s="137">
        <f>'DOE25'!J503</f>
        <v>0</v>
      </c>
      <c r="G163" s="138">
        <f t="shared" si="0"/>
        <v>85555</v>
      </c>
    </row>
    <row r="164" spans="1:7" x14ac:dyDescent="0.2">
      <c r="A164" s="22" t="s">
        <v>246</v>
      </c>
      <c r="B164" s="137">
        <f>'DOE25'!F504</f>
        <v>795555</v>
      </c>
      <c r="C164" s="137">
        <f>'DOE25'!G504</f>
        <v>0</v>
      </c>
      <c r="D164" s="137">
        <f>'DOE25'!H504</f>
        <v>0</v>
      </c>
      <c r="E164" s="137">
        <f>'DOE25'!I504</f>
        <v>0</v>
      </c>
      <c r="F164" s="137">
        <f>'DOE25'!J504</f>
        <v>0</v>
      </c>
      <c r="G164" s="138">
        <f t="shared" si="0"/>
        <v>795555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zoomScale="150" zoomScaleNormal="150" workbookViewId="0">
      <selection activeCell="B2" sqref="B2"/>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53" t="s">
        <v>736</v>
      </c>
      <c r="B1" s="353"/>
      <c r="C1" s="353"/>
      <c r="D1" s="353"/>
    </row>
    <row r="2" spans="1:4" x14ac:dyDescent="0.2">
      <c r="A2" s="187" t="s">
        <v>713</v>
      </c>
      <c r="B2" s="186" t="str">
        <f>'DOE25'!A2</f>
        <v>Barrington School District</v>
      </c>
    </row>
    <row r="3" spans="1:4" x14ac:dyDescent="0.2">
      <c r="B3" s="188" t="s">
        <v>1587</v>
      </c>
    </row>
    <row r="4" spans="1:4" x14ac:dyDescent="0.2">
      <c r="B4" t="s">
        <v>61</v>
      </c>
      <c r="C4" s="179">
        <f>IF('DOE25'!F666+'DOE25'!F671=0,0,ROUND('DOE25'!F673,0))</f>
        <v>14827</v>
      </c>
    </row>
    <row r="5" spans="1:4" x14ac:dyDescent="0.2">
      <c r="B5" t="s">
        <v>700</v>
      </c>
      <c r="C5" s="179">
        <f>IF('DOE25'!G666+'DOE25'!G671=0,0,ROUND('DOE25'!G673,0))</f>
        <v>15067</v>
      </c>
    </row>
    <row r="6" spans="1:4" x14ac:dyDescent="0.2">
      <c r="B6" t="s">
        <v>62</v>
      </c>
      <c r="C6" s="179">
        <f>IF('DOE25'!H666+'DOE25'!H671=0,0,ROUND('DOE25'!H673,0))</f>
        <v>0</v>
      </c>
    </row>
    <row r="7" spans="1:4" x14ac:dyDescent="0.2">
      <c r="B7" t="s">
        <v>701</v>
      </c>
      <c r="C7" s="179">
        <f>IF('DOE25'!I666+'DOE25'!I671=0,0,ROUND('DOE25'!I673,0))</f>
        <v>14934</v>
      </c>
    </row>
    <row r="9" spans="1:4" x14ac:dyDescent="0.2">
      <c r="A9" s="187" t="s">
        <v>94</v>
      </c>
      <c r="B9" s="188" t="s">
        <v>1588</v>
      </c>
      <c r="C9" s="181" t="s">
        <v>720</v>
      </c>
      <c r="D9" s="181" t="s">
        <v>721</v>
      </c>
    </row>
    <row r="10" spans="1:4" x14ac:dyDescent="0.2">
      <c r="A10">
        <v>1100</v>
      </c>
      <c r="B10" t="s">
        <v>702</v>
      </c>
      <c r="C10" s="179">
        <f>ROUND('DOE25'!L198+'DOE25'!L216+'DOE25'!L234+'DOE25'!L277+'DOE25'!L296+'DOE25'!L315,0)</f>
        <v>12852794</v>
      </c>
      <c r="D10" s="182">
        <f>ROUND((C10/$C$28)*100,1)</f>
        <v>55.1</v>
      </c>
    </row>
    <row r="11" spans="1:4" x14ac:dyDescent="0.2">
      <c r="A11">
        <v>1200</v>
      </c>
      <c r="B11" t="s">
        <v>703</v>
      </c>
      <c r="C11" s="179">
        <f>ROUND('DOE25'!L199+'DOE25'!L217+'DOE25'!L235+'DOE25'!L278+'DOE25'!L297+'DOE25'!L316,0)</f>
        <v>3453375</v>
      </c>
      <c r="D11" s="182">
        <f>ROUND((C11/$C$28)*100,1)</f>
        <v>14.8</v>
      </c>
    </row>
    <row r="12" spans="1:4" x14ac:dyDescent="0.2">
      <c r="A12">
        <v>1300</v>
      </c>
      <c r="B12" t="s">
        <v>704</v>
      </c>
      <c r="C12" s="179">
        <f>ROUND('DOE25'!L200+'DOE25'!L218+'DOE25'!L236+'DOE25'!L279+'DOE25'!L298+'DOE25'!L317,0)</f>
        <v>390</v>
      </c>
      <c r="D12" s="182">
        <f>ROUND((C12/$C$28)*100,1)</f>
        <v>0</v>
      </c>
    </row>
    <row r="13" spans="1:4" x14ac:dyDescent="0.2">
      <c r="A13">
        <v>1400</v>
      </c>
      <c r="B13" t="s">
        <v>705</v>
      </c>
      <c r="C13" s="179">
        <f>ROUND('DOE25'!L201+'DOE25'!L219+'DOE25'!L237+'DOE25'!L280+'DOE25'!L299+'DOE25'!L318,0)</f>
        <v>60497</v>
      </c>
      <c r="D13" s="182">
        <f>ROUND((C13/$C$28)*100,1)</f>
        <v>0.3</v>
      </c>
    </row>
    <row r="14" spans="1:4" x14ac:dyDescent="0.2">
      <c r="D14" s="182"/>
    </row>
    <row r="15" spans="1:4" x14ac:dyDescent="0.2">
      <c r="A15">
        <v>2100</v>
      </c>
      <c r="B15" t="s">
        <v>706</v>
      </c>
      <c r="C15" s="179">
        <f>ROUND('DOE25'!L203+'DOE25'!L221+'DOE25'!L239+'DOE25'!L282+'DOE25'!L301+'DOE25'!L320,0)</f>
        <v>1547732</v>
      </c>
      <c r="D15" s="182">
        <f t="shared" ref="D15:D27" si="0">ROUND((C15/$C$28)*100,1)</f>
        <v>6.6</v>
      </c>
    </row>
    <row r="16" spans="1:4" x14ac:dyDescent="0.2">
      <c r="A16">
        <v>2200</v>
      </c>
      <c r="B16" t="s">
        <v>707</v>
      </c>
      <c r="C16" s="179">
        <f>ROUND('DOE25'!L204+'DOE25'!L222+'DOE25'!L240+'DOE25'!L283+'DOE25'!L302+'DOE25'!L321,0)</f>
        <v>913130</v>
      </c>
      <c r="D16" s="182">
        <f t="shared" si="0"/>
        <v>3.9</v>
      </c>
    </row>
    <row r="17" spans="1:4" x14ac:dyDescent="0.2">
      <c r="A17" s="183" t="s">
        <v>723</v>
      </c>
      <c r="B17" t="s">
        <v>738</v>
      </c>
      <c r="C17" s="179">
        <f>ROUND('DOE25'!L205+'DOE25'!L210+'DOE25'!L223+'DOE25'!L228+'DOE25'!L241+'DOE25'!L246+'DOE25'!L284+'DOE25'!L289+'DOE25'!L303+'DOE25'!L308+'DOE25'!L322+'DOE25'!L327,0)</f>
        <v>677963</v>
      </c>
      <c r="D17" s="182">
        <f t="shared" si="0"/>
        <v>2.9</v>
      </c>
    </row>
    <row r="18" spans="1:4" x14ac:dyDescent="0.2">
      <c r="A18">
        <v>2400</v>
      </c>
      <c r="B18" t="s">
        <v>711</v>
      </c>
      <c r="C18" s="179">
        <f>ROUND('DOE25'!L206+'DOE25'!L224+'DOE25'!L242+'DOE25'!L285+'DOE25'!L304+'DOE25'!L323,0)</f>
        <v>921397</v>
      </c>
      <c r="D18" s="182">
        <f t="shared" si="0"/>
        <v>4</v>
      </c>
    </row>
    <row r="19" spans="1:4" x14ac:dyDescent="0.2">
      <c r="A19">
        <v>2500</v>
      </c>
      <c r="B19" t="s">
        <v>708</v>
      </c>
      <c r="C19" s="179">
        <f>ROUND('DOE25'!L207+'DOE25'!L225+'DOE25'!L243+'DOE25'!L286+'DOE25'!L305+'DOE25'!L324,0)</f>
        <v>211474</v>
      </c>
      <c r="D19" s="182">
        <f t="shared" si="0"/>
        <v>0.9</v>
      </c>
    </row>
    <row r="20" spans="1:4" x14ac:dyDescent="0.2">
      <c r="A20">
        <v>2600</v>
      </c>
      <c r="B20" t="s">
        <v>709</v>
      </c>
      <c r="C20" s="179">
        <f>ROUND('DOE25'!L208+'DOE25'!L226+'DOE25'!L244+'DOE25'!L287+'DOE25'!L306+'DOE25'!L325,0)</f>
        <v>1417368</v>
      </c>
      <c r="D20" s="182">
        <f t="shared" si="0"/>
        <v>6.1</v>
      </c>
    </row>
    <row r="21" spans="1:4" x14ac:dyDescent="0.2">
      <c r="A21">
        <v>2700</v>
      </c>
      <c r="B21" t="s">
        <v>710</v>
      </c>
      <c r="C21" s="179">
        <f>ROUND('DOE25'!L209+'DOE25'!L227+'DOE25'!L245+'DOE25'!L288+'DOE25'!L307+'DOE25'!L326,0)</f>
        <v>1023758</v>
      </c>
      <c r="D21" s="182">
        <f t="shared" si="0"/>
        <v>4.4000000000000004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118748</v>
      </c>
      <c r="D25" s="182">
        <f t="shared" si="0"/>
        <v>0.5</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122048</v>
      </c>
      <c r="D27" s="182">
        <f t="shared" si="0"/>
        <v>0.5</v>
      </c>
    </row>
    <row r="28" spans="1:4" x14ac:dyDescent="0.2">
      <c r="B28" s="187" t="s">
        <v>719</v>
      </c>
      <c r="C28" s="180">
        <f>SUM(C10:C27)</f>
        <v>23320674</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23320674</v>
      </c>
    </row>
    <row r="31" spans="1:4" x14ac:dyDescent="0.2">
      <c r="B31" s="33"/>
      <c r="C31" s="180"/>
    </row>
    <row r="32" spans="1:4" x14ac:dyDescent="0.2">
      <c r="A32">
        <v>5100</v>
      </c>
      <c r="B32" s="33" t="s">
        <v>726</v>
      </c>
      <c r="C32" s="180">
        <f>ROUND('DOE25'!L261+'DOE25'!L342,0)</f>
        <v>710000</v>
      </c>
    </row>
    <row r="34" spans="1:4" x14ac:dyDescent="0.2">
      <c r="A34" s="187" t="s">
        <v>94</v>
      </c>
      <c r="B34" s="188" t="s">
        <v>1589</v>
      </c>
      <c r="C34" s="181" t="s">
        <v>720</v>
      </c>
      <c r="D34" s="181" t="s">
        <v>721</v>
      </c>
    </row>
    <row r="35" spans="1:4" x14ac:dyDescent="0.2">
      <c r="A35">
        <v>1100</v>
      </c>
      <c r="B35" s="185" t="s">
        <v>727</v>
      </c>
      <c r="C35" s="179">
        <f>ROUND('DOE25'!F60+'DOE25'!G60+'DOE25'!H60+'DOE25'!I60+'DOE25'!J60,0)</f>
        <v>16704078</v>
      </c>
      <c r="D35" s="182">
        <f t="shared" ref="D35:D40" si="1">ROUND((C35/$C$41)*100,1)</f>
        <v>67.900000000000006</v>
      </c>
    </row>
    <row r="36" spans="1:4" x14ac:dyDescent="0.2">
      <c r="B36" s="185" t="s">
        <v>739</v>
      </c>
      <c r="C36" s="179">
        <f>SUM('DOE25'!F112:J112)-SUM('DOE25'!G97:G110)+('DOE25'!F175+'DOE25'!F176+'DOE25'!I175+'DOE25'!I176)-C35</f>
        <v>303050.96999999881</v>
      </c>
      <c r="D36" s="182">
        <f t="shared" si="1"/>
        <v>1.2</v>
      </c>
    </row>
    <row r="37" spans="1:4" x14ac:dyDescent="0.2">
      <c r="A37" s="183" t="s">
        <v>835</v>
      </c>
      <c r="B37" s="185" t="s">
        <v>728</v>
      </c>
      <c r="C37" s="179">
        <f>ROUND('DOE25'!F117+'DOE25'!F118,0)</f>
        <v>6599821</v>
      </c>
      <c r="D37" s="182">
        <f t="shared" si="1"/>
        <v>26.8</v>
      </c>
    </row>
    <row r="38" spans="1:4" x14ac:dyDescent="0.2">
      <c r="A38" s="183" t="s">
        <v>734</v>
      </c>
      <c r="B38" s="185" t="s">
        <v>729</v>
      </c>
      <c r="C38" s="179">
        <f>ROUND(SUM('DOE25'!F140:J140)-SUM('DOE25'!F117:F119),0)</f>
        <v>449096</v>
      </c>
      <c r="D38" s="182">
        <f t="shared" si="1"/>
        <v>1.8</v>
      </c>
    </row>
    <row r="39" spans="1:4" x14ac:dyDescent="0.2">
      <c r="A39">
        <v>4000</v>
      </c>
      <c r="B39" s="185" t="s">
        <v>730</v>
      </c>
      <c r="C39" s="179">
        <f>ROUND('DOE25'!F170+'DOE25'!G170+'DOE25'!H170+'DOE25'!I170,0)</f>
        <v>544600</v>
      </c>
      <c r="D39" s="182">
        <f t="shared" si="1"/>
        <v>2.2000000000000002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24600645.969999999</v>
      </c>
      <c r="D41" s="184">
        <f>SUM(D35:D40)</f>
        <v>99.9</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ColWidth="8.6640625" defaultRowHeight="11.25" x14ac:dyDescent="0.2"/>
  <cols>
    <col min="1" max="1" width="10.16406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Barrington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ColWidth="8.6640625" defaultRowHeight="11.25" x14ac:dyDescent="0.2"/>
  <cols>
    <col min="2" max="2" width="54.1640625" bestFit="1" customWidth="1"/>
    <col min="3" max="3" width="53.6640625" bestFit="1" customWidth="1"/>
    <col min="4" max="4" width="10.1640625" customWidth="1"/>
    <col min="5" max="5" width="13.1640625" customWidth="1"/>
    <col min="8" max="8" width="41.6640625" bestFit="1" customWidth="1"/>
    <col min="9" max="9" width="43.1640625" bestFit="1" customWidth="1"/>
    <col min="11" max="11" width="13.6640625" customWidth="1"/>
    <col min="14" max="14" width="41.6640625" bestFit="1" customWidth="1"/>
    <col min="15" max="15" width="51.16406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2020-10-07T13:49:12Z</cp:lastPrinted>
  <dcterms:created xsi:type="dcterms:W3CDTF">1997-12-04T19:04:30Z</dcterms:created>
  <dcterms:modified xsi:type="dcterms:W3CDTF">2020-12-09T16:21:32Z</dcterms:modified>
</cp:coreProperties>
</file>