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H244" i="1" l="1"/>
  <c r="H226" i="1"/>
  <c r="I524" i="1"/>
  <c r="H524" i="1"/>
  <c r="H529" i="1"/>
  <c r="I523" i="1"/>
  <c r="H523" i="1"/>
  <c r="H528" i="1"/>
  <c r="I527" i="1"/>
  <c r="I522" i="1"/>
  <c r="H522" i="1"/>
  <c r="H527" i="1"/>
  <c r="I529" i="1"/>
  <c r="I528" i="1"/>
  <c r="F529" i="1"/>
  <c r="F528" i="1"/>
  <c r="F527" i="1"/>
  <c r="G524" i="1"/>
  <c r="F524" i="1"/>
  <c r="G523" i="1"/>
  <c r="F523" i="1"/>
  <c r="G522" i="1"/>
  <c r="F522" i="1"/>
  <c r="J524" i="1"/>
  <c r="F542" i="1" l="1"/>
  <c r="G544" i="1"/>
  <c r="F544" i="1"/>
  <c r="G543" i="1"/>
  <c r="F543" i="1"/>
  <c r="G542" i="1"/>
  <c r="J593" i="1"/>
  <c r="J592" i="1"/>
  <c r="I593" i="1"/>
  <c r="I592" i="1"/>
  <c r="H593" i="1"/>
  <c r="H592" i="1"/>
  <c r="H245" i="1"/>
  <c r="H227" i="1"/>
  <c r="K534" i="1"/>
  <c r="K533" i="1"/>
  <c r="K532" i="1"/>
  <c r="H534" i="1"/>
  <c r="H533" i="1"/>
  <c r="H532" i="1"/>
  <c r="G534" i="1"/>
  <c r="G533" i="1"/>
  <c r="G532" i="1"/>
  <c r="F534" i="1"/>
  <c r="F532" i="1"/>
  <c r="F533" i="1"/>
  <c r="C10" i="12" l="1"/>
  <c r="C12" i="12"/>
  <c r="C19" i="12"/>
  <c r="G244" i="1"/>
  <c r="G226" i="1"/>
  <c r="G208" i="1"/>
  <c r="G243" i="1"/>
  <c r="G225" i="1"/>
  <c r="G207" i="1"/>
  <c r="G242" i="1"/>
  <c r="G224" i="1"/>
  <c r="G206" i="1"/>
  <c r="G241" i="1"/>
  <c r="G223" i="1"/>
  <c r="G205" i="1"/>
  <c r="G240" i="1"/>
  <c r="G222" i="1"/>
  <c r="G204" i="1"/>
  <c r="G239" i="1"/>
  <c r="G221" i="1"/>
  <c r="G203" i="1"/>
  <c r="G235" i="1"/>
  <c r="G217" i="1"/>
  <c r="G199" i="1"/>
  <c r="G234" i="1"/>
  <c r="G216" i="1"/>
  <c r="G198" i="1"/>
  <c r="H243" i="1"/>
  <c r="H225" i="1"/>
  <c r="H207" i="1"/>
  <c r="B20" i="12"/>
  <c r="B19" i="12"/>
  <c r="B12" i="12"/>
  <c r="B10" i="12"/>
  <c r="B37" i="12"/>
  <c r="F614" i="1"/>
  <c r="J605" i="1"/>
  <c r="H605" i="1"/>
  <c r="H237" i="1"/>
  <c r="H219" i="1"/>
  <c r="I605" i="1"/>
  <c r="I244" i="1"/>
  <c r="I226" i="1"/>
  <c r="I208" i="1"/>
  <c r="H208" i="1"/>
  <c r="F244" i="1"/>
  <c r="J240" i="1"/>
  <c r="J204" i="1"/>
  <c r="I242" i="1"/>
  <c r="I224" i="1"/>
  <c r="I206" i="1"/>
  <c r="I241" i="1"/>
  <c r="I223" i="1"/>
  <c r="I205" i="1"/>
  <c r="I240" i="1"/>
  <c r="I222" i="1"/>
  <c r="I204" i="1"/>
  <c r="I239" i="1"/>
  <c r="I221" i="1"/>
  <c r="I203" i="1"/>
  <c r="I235" i="1"/>
  <c r="I217" i="1"/>
  <c r="I199" i="1"/>
  <c r="I234" i="1"/>
  <c r="I216" i="1"/>
  <c r="I198" i="1"/>
  <c r="H228" i="1"/>
  <c r="H210" i="1"/>
  <c r="H246" i="1"/>
  <c r="H241" i="1"/>
  <c r="H223" i="1"/>
  <c r="H205" i="1"/>
  <c r="H240" i="1"/>
  <c r="H222" i="1"/>
  <c r="H204" i="1"/>
  <c r="H239" i="1"/>
  <c r="H221" i="1"/>
  <c r="H203" i="1"/>
  <c r="F221" i="1"/>
  <c r="F203" i="1"/>
  <c r="F226" i="1"/>
  <c r="F208" i="1"/>
  <c r="F243" i="1"/>
  <c r="F225" i="1"/>
  <c r="F207" i="1"/>
  <c r="F242" i="1"/>
  <c r="F224" i="1"/>
  <c r="F206" i="1"/>
  <c r="F241" i="1"/>
  <c r="F223" i="1"/>
  <c r="F205" i="1"/>
  <c r="F240" i="1"/>
  <c r="F222" i="1"/>
  <c r="F204" i="1"/>
  <c r="F237" i="1"/>
  <c r="F219" i="1"/>
  <c r="F201" i="1"/>
  <c r="F235" i="1"/>
  <c r="F217" i="1"/>
  <c r="F199" i="1"/>
  <c r="F234" i="1"/>
  <c r="F216" i="1"/>
  <c r="F198" i="1"/>
  <c r="F252" i="1" l="1"/>
  <c r="K242" i="1"/>
  <c r="K234" i="1"/>
  <c r="J234" i="1"/>
  <c r="I237" i="1"/>
  <c r="H242" i="1"/>
  <c r="H236" i="1"/>
  <c r="H235" i="1"/>
  <c r="H234" i="1"/>
  <c r="F239" i="1"/>
  <c r="I219" i="1"/>
  <c r="H217" i="1"/>
  <c r="H216" i="1"/>
  <c r="K206" i="1"/>
  <c r="H206" i="1"/>
  <c r="H199" i="1"/>
  <c r="H198" i="1"/>
  <c r="F316" i="1" l="1"/>
  <c r="F278" i="1"/>
  <c r="F297" i="1"/>
  <c r="F301" i="1"/>
  <c r="F302" i="1"/>
  <c r="H321" i="1"/>
  <c r="F320" i="1"/>
  <c r="F321" i="1"/>
  <c r="H322" i="1"/>
  <c r="G284" i="1"/>
  <c r="H302" i="1"/>
  <c r="F282" i="1"/>
  <c r="F283" i="1"/>
  <c r="H283" i="1"/>
  <c r="F473" i="1" l="1"/>
  <c r="F50" i="1"/>
  <c r="F28" i="1" l="1"/>
  <c r="F120" i="1"/>
  <c r="F86" i="1"/>
  <c r="H155" i="1"/>
  <c r="F9" i="1"/>
  <c r="F30" i="1" l="1"/>
  <c r="F466" i="1"/>
  <c r="F14" i="1" l="1"/>
  <c r="F361" i="1"/>
  <c r="G97" i="1"/>
  <c r="G40" i="1"/>
  <c r="H22" i="1" l="1"/>
  <c r="H13" i="1"/>
  <c r="H159" i="1"/>
  <c r="H30" i="1"/>
  <c r="H154" i="1"/>
  <c r="H102" i="1"/>
  <c r="G30" i="1" l="1"/>
  <c r="G13" i="1"/>
  <c r="G503" i="1" l="1"/>
  <c r="F503" i="1"/>
  <c r="G500" i="1"/>
  <c r="G369" i="1"/>
  <c r="H359" i="1"/>
  <c r="F359" i="1"/>
  <c r="H369" i="1"/>
  <c r="H368" i="1"/>
  <c r="G368" i="1"/>
  <c r="F368" i="1"/>
  <c r="F369" i="1"/>
  <c r="I361" i="1"/>
  <c r="H361" i="1"/>
  <c r="I360" i="1"/>
  <c r="H360" i="1"/>
  <c r="F360" i="1"/>
  <c r="J359" i="1"/>
  <c r="I359" i="1"/>
  <c r="K361" i="1"/>
  <c r="K360" i="1"/>
  <c r="K359" i="1"/>
  <c r="J361" i="1"/>
  <c r="J360" i="1"/>
  <c r="G361" i="1"/>
  <c r="G360" i="1"/>
  <c r="G359" i="1"/>
  <c r="F500" i="1"/>
  <c r="F110" i="1"/>
  <c r="F63" i="1"/>
  <c r="F66" i="1"/>
  <c r="F118" i="1"/>
  <c r="F5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E123" i="2" s="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40" i="1" s="1"/>
  <c r="J136" i="1"/>
  <c r="F147" i="1"/>
  <c r="F170" i="1" s="1"/>
  <c r="G147" i="1"/>
  <c r="D85" i="2" s="1"/>
  <c r="H147" i="1"/>
  <c r="H170" i="1"/>
  <c r="I147" i="1"/>
  <c r="C11"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0" i="2"/>
  <c r="E121" i="2"/>
  <c r="E124"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3" i="1"/>
  <c r="H653" i="1"/>
  <c r="G654" i="1"/>
  <c r="H654" i="1"/>
  <c r="G655" i="1"/>
  <c r="H655" i="1"/>
  <c r="H656" i="1"/>
  <c r="J656" i="1" s="1"/>
  <c r="I170" i="1"/>
  <c r="H140" i="1"/>
  <c r="K339" i="1" l="1"/>
  <c r="K353" i="1" s="1"/>
  <c r="C13" i="10"/>
  <c r="A40" i="12"/>
  <c r="J652" i="1"/>
  <c r="H663" i="1"/>
  <c r="D15" i="13"/>
  <c r="C15" i="13" s="1"/>
  <c r="C125" i="2"/>
  <c r="C120" i="2"/>
  <c r="L257" i="1"/>
  <c r="C20" i="10"/>
  <c r="C112" i="2"/>
  <c r="J258" i="1"/>
  <c r="J272" i="1" s="1"/>
  <c r="D6" i="13"/>
  <c r="C6" i="13" s="1"/>
  <c r="C110" i="2"/>
  <c r="C119" i="2"/>
  <c r="E13" i="13"/>
  <c r="C13" i="13" s="1"/>
  <c r="F258" i="1"/>
  <c r="F272" i="1" s="1"/>
  <c r="C12" i="10"/>
  <c r="E119" i="2"/>
  <c r="A31" i="12"/>
  <c r="G477" i="1"/>
  <c r="B33" i="16" s="1"/>
  <c r="C131" i="2"/>
  <c r="H112" i="1"/>
  <c r="H194" i="1" s="1"/>
  <c r="G630" i="1" s="1"/>
  <c r="J630" i="1" s="1"/>
  <c r="L402" i="1"/>
  <c r="C139" i="2" s="1"/>
  <c r="H477" i="1"/>
  <c r="H625" i="1" s="1"/>
  <c r="C91" i="2"/>
  <c r="D50" i="2"/>
  <c r="G553" i="1"/>
  <c r="F339" i="1"/>
  <c r="F353" i="1" s="1"/>
  <c r="J642" i="1"/>
  <c r="L561" i="1"/>
  <c r="J625"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D103" i="2"/>
  <c r="I140" i="1"/>
  <c r="A22" i="12"/>
  <c r="G50" i="2"/>
  <c r="J653" i="1"/>
  <c r="G572" i="1"/>
  <c r="I435" i="1"/>
  <c r="G435" i="1"/>
  <c r="I664" i="1"/>
  <c r="I663" i="1" l="1"/>
  <c r="L572" i="1"/>
  <c r="H661" i="1"/>
  <c r="H665" i="1" s="1"/>
  <c r="H668" i="1" s="1"/>
  <c r="G36" i="14"/>
  <c r="H36" i="14" s="1"/>
  <c r="I36" i="14" s="1"/>
  <c r="E128" i="2"/>
  <c r="E145" i="2" s="1"/>
  <c r="G24" i="14"/>
  <c r="H24" i="14" s="1"/>
  <c r="I24" i="14" s="1"/>
  <c r="F661" i="1"/>
  <c r="F665" i="1" s="1"/>
  <c r="F668" i="1" s="1"/>
  <c r="D51" i="2"/>
  <c r="F194" i="1"/>
  <c r="G628" i="1" s="1"/>
  <c r="J628" i="1" s="1"/>
  <c r="C81" i="2"/>
  <c r="H649" i="1"/>
  <c r="J649" i="1" s="1"/>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<sst xmlns="http://schemas.openxmlformats.org/spreadsheetml/2006/main" count="5582" uniqueCount="1652">
  <si>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</si>
  <si>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</si>
  <si>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</si>
  <si>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</si>
  <si>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</si>
  <si>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</si>
  <si>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</si>
  <si>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</si>
  <si>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</si>
  <si>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</si>
  <si>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</si>
  <si>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</si>
  <si>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</si>
  <si>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</si>
  <si>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</si>
  <si>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</si>
  <si>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</si>
  <si>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</si>
  <si>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</si>
  <si>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</si>
  <si>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</si>
  <si>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</si>
  <si>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</si>
  <si>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</si>
  <si>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</si>
  <si>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</si>
  <si>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</si>
  <si>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</si>
  <si>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</si>
  <si>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</si>
  <si>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</si>
  <si>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</si>
  <si>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</si>
  <si>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</si>
  <si>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</si>
  <si>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</si>
  <si>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</si>
  <si>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</si>
  <si>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</si>
  <si>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</si>
  <si>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</si>
  <si>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</si>
  <si>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</si>
  <si>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</si>
  <si>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</si>
  <si>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</si>
  <si>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</si>
  <si>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</si>
  <si>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</si>
  <si>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</si>
  <si>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</si>
  <si>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</si>
  <si>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</si>
  <si>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</si>
  <si>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</si>
  <si>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</si>
  <si>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</si>
  <si>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</si>
  <si>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</si>
  <si>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</si>
  <si>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</si>
  <si>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</si>
  <si>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</si>
  <si>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</si>
  <si>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</si>
  <si>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</si>
  <si>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</si>
  <si>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</si>
  <si>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</si>
  <si>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</si>
  <si>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</si>
  <si>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</si>
  <si>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</si>
  <si>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</si>
  <si>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</si>
  <si>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</si>
  <si>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</si>
  <si>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</si>
  <si>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</si>
  <si>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</si>
  <si>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</si>
  <si>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</si>
  <si>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</si>
  <si>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</si>
  <si>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</si>
  <si>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</si>
  <si>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</si>
  <si>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</si>
  <si>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</si>
  <si>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</si>
  <si>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</si>
  <si>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</si>
  <si>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</si>
  <si>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</si>
  <si>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</si>
  <si>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</si>
  <si>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</si>
  <si>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</si>
  <si>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</si>
  <si>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</si>
  <si>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</si>
  <si>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</si>
  <si>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</si>
  <si>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</si>
  <si>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</si>
  <si>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</si>
  <si>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</si>
  <si>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</si>
  <si>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</si>
  <si>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</si>
  <si>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</si>
  <si>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</si>
  <si>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</si>
  <si>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</si>
  <si>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</si>
  <si>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</si>
  <si>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</si>
  <si>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</si>
  <si>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</si>
  <si>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</si>
  <si>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</si>
  <si>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</si>
  <si>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</si>
  <si>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</si>
  <si>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</si>
  <si>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</si>
  <si>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</si>
  <si>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</si>
  <si>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</si>
  <si>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</si>
  <si>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</si>
  <si>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</si>
  <si>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</si>
  <si>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</si>
  <si>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</si>
  <si>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</si>
  <si>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</si>
  <si>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</si>
  <si>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</si>
  <si>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</si>
  <si>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</si>
  <si>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</si>
  <si>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</si>
  <si>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</si>
  <si>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</si>
  <si>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</si>
  <si>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</si>
  <si>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</si>
  <si>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</si>
  <si>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</si>
  <si>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</si>
  <si>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</si>
  <si>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</si>
  <si>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</si>
  <si>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</si>
  <si>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</si>
  <si>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</si>
  <si>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</si>
  <si>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</si>
  <si>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</si>
  <si>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</si>
  <si>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</si>
  <si>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</si>
  <si>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</si>
  <si>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</si>
  <si>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</si>
  <si>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</si>
  <si>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</si>
  <si>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</si>
  <si>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</si>
  <si>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</si>
  <si>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</si>
  <si>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</si>
  <si>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</si>
  <si>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</si>
  <si>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</si>
  <si>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</si>
  <si>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</si>
  <si>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</si>
  <si>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</si>
  <si>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</si>
  <si>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</si>
  <si>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</si>
  <si>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</si>
  <si>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</si>
  <si>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</si>
  <si>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</si>
  <si>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</si>
  <si>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</si>
  <si>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</si>
  <si>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</si>
  <si>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</si>
  <si>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</si>
  <si>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</si>
  <si>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</si>
  <si>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</si>
  <si>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</si>
  <si>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</si>
  <si>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</si>
  <si>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</si>
  <si>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</si>
  <si>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</si>
  <si>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</si>
  <si>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</si>
  <si>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</si>
  <si>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</si>
  <si>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</si>
  <si>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</si>
  <si>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</si>
  <si>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</si>
  <si>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</si>
  <si>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</si>
  <si>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</si>
  <si>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</si>
  <si>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</si>
  <si>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</si>
  <si>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</si>
  <si>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</si>
  <si>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</si>
  <si>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</si>
  <si>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</si>
  <si>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</si>
  <si>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</si>
  <si>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</si>
  <si>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</si>
  <si>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</si>
  <si>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</si>
  <si>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</si>
  <si>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</si>
  <si>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</si>
  <si>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</si>
  <si>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</si>
  <si>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</si>
  <si>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</si>
  <si>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</si>
  <si>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</si>
  <si>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</si>
  <si>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</si>
  <si>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</si>
  <si>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</si>
  <si>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</si>
  <si>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</si>
  <si>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</si>
  <si>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</si>
  <si>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</si>
  <si>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</si>
  <si>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</si>
  <si>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</si>
  <si>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</si>
  <si>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</si>
  <si>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</si>
  <si>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</si>
  <si>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</si>
  <si>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</si>
  <si>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</si>
  <si>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</si>
  <si>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</si>
  <si>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</si>
  <si>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</si>
  <si>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</si>
  <si>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</si>
  <si>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</si>
  <si>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</si>
  <si>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</si>
  <si>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</si>
  <si>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</si>
  <si>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</si>
  <si>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</si>
  <si>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</si>
  <si>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</si>
  <si>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</si>
  <si>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</si>
  <si>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</si>
  <si>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</si>
  <si>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</si>
  <si>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</si>
  <si>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</si>
  <si>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</si>
  <si>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</si>
  <si>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</si>
  <si>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</si>
  <si>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</si>
  <si>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</si>
  <si>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</si>
  <si>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</si>
  <si>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</si>
  <si>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</si>
  <si>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</si>
  <si>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</si>
  <si>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</si>
  <si>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</si>
  <si>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</si>
  <si>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</si>
  <si>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</si>
  <si>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</si>
  <si>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</si>
  <si>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</si>
  <si>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</si>
  <si>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</si>
  <si>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</si>
  <si>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</si>
  <si>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</si>
  <si>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</si>
  <si>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</si>
  <si>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</si>
  <si>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</si>
  <si>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</si>
  <si>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</si>
  <si>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</si>
  <si>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</si>
  <si>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</si>
  <si>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</si>
  <si>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</si>
  <si>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</si>
  <si>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</si>
  <si>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</si>
  <si>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</si>
  <si>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</si>
  <si>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</si>
  <si>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</si>
  <si>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</si>
  <si>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</si>
  <si>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</si>
  <si>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</si>
  <si>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</si>
  <si>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</si>
  <si>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</si>
  <si>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</si>
  <si>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</si>
  <si>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</si>
  <si>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</si>
  <si>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</si>
  <si>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</si>
  <si>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</si>
  <si>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</si>
  <si>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</si>
  <si>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</si>
  <si>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</si>
  <si>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</si>
  <si>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</si>
  <si>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</si>
  <si>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</si>
  <si>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</si>
  <si>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</si>
  <si>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</si>
  <si>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</si>
  <si>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</si>
  <si>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</si>
  <si>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</si>
  <si>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</si>
  <si>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</si>
  <si>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</si>
  <si>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</si>
  <si>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</si>
  <si>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</si>
  <si>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</si>
  <si>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</si>
  <si>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</si>
  <si>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</si>
  <si>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</si>
  <si>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</si>
  <si>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</si>
  <si>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</si>
  <si>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</si>
  <si>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</si>
  <si>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</si>
  <si>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</si>
  <si>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</si>
  <si>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</si>
  <si>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</si>
  <si>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</si>
  <si>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</si>
  <si>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</si>
  <si>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</si>
  <si>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</si>
  <si>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</si>
  <si>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</si>
  <si>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</si>
  <si>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</si>
  <si>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</si>
  <si>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</si>
  <si>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</si>
  <si>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</si>
  <si>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</si>
  <si>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</si>
  <si>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</si>
  <si>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</si>
  <si>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</si>
  <si>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</si>
  <si>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</si>
  <si>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</si>
  <si>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</si>
  <si>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</si>
  <si>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</si>
  <si>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</si>
  <si>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</si>
  <si>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</si>
  <si>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</si>
  <si>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</si>
  <si>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</si>
  <si>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</si>
  <si>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</si>
  <si>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</si>
  <si>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</si>
  <si>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</si>
  <si>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</si>
  <si>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</si>
  <si>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</si>
  <si>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</si>
  <si>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</si>
  <si>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</si>
  <si>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</si>
  <si>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</si>
  <si>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</si>
  <si>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</si>
  <si>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</si>
  <si>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</si>
  <si>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</si>
  <si>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</si>
  <si>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</si>
  <si>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</si>
  <si>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</si>
  <si>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</si>
  <si>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</si>
  <si>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</si>
  <si>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</si>
  <si>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</si>
  <si>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</si>
  <si>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</si>
  <si>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</si>
  <si>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</si>
  <si>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</si>
  <si>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</si>
  <si>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</si>
  <si>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</si>
  <si>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</si>
  <si>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</si>
  <si>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</si>
  <si>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</si>
  <si>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</si>
  <si>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</si>
  <si>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</si>
  <si>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</si>
  <si>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</si>
  <si>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</si>
  <si>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</si>
  <si>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</si>
  <si>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</si>
  <si>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</si>
  <si>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</si>
  <si>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</si>
  <si>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</si>
  <si>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</si>
  <si>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</si>
  <si>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</si>
  <si>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</si>
  <si>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</si>
  <si>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</si>
  <si>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</si>
  <si>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</si>
  <si>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</si>
  <si>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</si>
  <si>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</si>
  <si>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</si>
  <si>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</si>
  <si>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</si>
  <si>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</si>
  <si>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</si>
  <si>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</si>
  <si>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</si>
  <si>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</si>
  <si>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</si>
  <si>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</si>
  <si>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</si>
  <si>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</si>
  <si>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</si>
  <si>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</si>
  <si>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</si>
  <si>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</si>
  <si>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</si>
  <si>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</si>
  <si>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</si>
  <si>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</si>
  <si>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</si>
  <si>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</si>
  <si>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</si>
  <si>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</si>
  <si>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</si>
  <si>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</si>
  <si>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</si>
  <si>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</si>
  <si>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</si>
  <si>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</si>
  <si>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</si>
  <si>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</si>
  <si>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</si>
  <si>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</si>
  <si>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</si>
  <si>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</si>
  <si>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</si>
  <si>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</si>
  <si>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</si>
  <si>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</si>
  <si>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</si>
  <si>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</si>
  <si>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</si>
  <si>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</si>
  <si>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</si>
  <si>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</si>
  <si>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</si>
  <si>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</si>
  <si>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</si>
  <si>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</si>
  <si>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</si>
  <si>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</si>
  <si>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</si>
  <si>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</si>
  <si>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</si>
  <si>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</si>
  <si>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</si>
  <si>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</si>
  <si>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</si>
  <si>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</si>
  <si>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</si>
  <si>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</si>
  <si>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</si>
  <si>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</si>
  <si>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</si>
  <si>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</si>
  <si>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</si>
  <si>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</si>
  <si>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</si>
  <si>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</si>
  <si>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</si>
  <si>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</si>
  <si>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</si>
  <si>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</si>
  <si>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</si>
  <si>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</si>
  <si>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</si>
  <si>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</si>
  <si>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</si>
  <si>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</si>
  <si>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</si>
  <si>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</si>
  <si>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</si>
  <si>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</si>
  <si>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</si>
  <si>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</si>
  <si>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</si>
  <si>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</si>
  <si>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</si>
  <si>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</si>
  <si>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</si>
  <si>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</si>
  <si>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</si>
  <si>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</si>
  <si>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</si>
  <si>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</si>
  <si>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</si>
  <si>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</si>
  <si>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</si>
  <si>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</si>
  <si>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</si>
  <si>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</si>
  <si>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</si>
  <si>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</si>
  <si>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</si>
  <si>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</si>
  <si>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</si>
  <si>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</si>
  <si>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</si>
  <si>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</si>
  <si>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</si>
  <si>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</si>
  <si>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</si>
  <si>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</si>
  <si>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</si>
  <si>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</si>
  <si>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</si>
  <si>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</si>
  <si>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</si>
  <si>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</si>
  <si>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</si>
  <si>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</si>
  <si>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</si>
  <si>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</si>
  <si>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</si>
  <si>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</si>
  <si>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</si>
  <si>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</si>
  <si>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</si>
  <si>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</si>
  <si>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</si>
  <si>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</si>
  <si>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</si>
  <si>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</si>
  <si>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</si>
  <si>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</si>
  <si>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</si>
  <si>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</si>
  <si>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</si>
  <si>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</si>
  <si>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</si>
  <si>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</si>
  <si>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</si>
  <si>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</si>
  <si>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</si>
  <si>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</si>
  <si>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</si>
  <si>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</si>
  <si>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</si>
  <si>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</si>
  <si>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</si>
  <si>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</si>
  <si>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</si>
  <si>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</si>
  <si>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</si>
  <si>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</si>
  <si>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</si>
  <si>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</si>
  <si>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</si>
  <si>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</si>
  <si>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</si>
  <si>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</si>
  <si>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</si>
  <si>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</si>
  <si>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</si>
  <si>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</si>
  <si>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</si>
  <si>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</si>
  <si>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</si>
  <si>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</si>
  <si>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</si>
  <si>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</si>
  <si>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</si>
  <si>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</si>
  <si>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</si>
  <si>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</si>
  <si>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</si>
  <si>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</si>
  <si>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</si>
  <si>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</si>
  <si>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</si>
  <si>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</si>
  <si>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</si>
  <si>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</si>
  <si>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</si>
  <si>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</si>
  <si>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</si>
  <si>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</si>
  <si>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</si>
  <si>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</si>
  <si>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</si>
  <si>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</si>
  <si>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</si>
  <si>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</si>
  <si>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</si>
  <si>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</si>
  <si>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</si>
  <si>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</si>
  <si>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</si>
  <si>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</si>
  <si>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</si>
  <si>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</si>
  <si>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</si>
  <si>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</si>
  <si>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</si>
  <si>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</si>
  <si>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</si>
  <si>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</si>
  <si>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</si>
  <si>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</si>
  <si>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</si>
  <si>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</si>
  <si>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</si>
  <si>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</si>
  <si>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</si>
  <si>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</si>
  <si>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</si>
  <si>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</si>
  <si>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</si>
  <si>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</si>
  <si>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</si>
  <si>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</si>
  <si>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</si>
  <si>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</si>
  <si>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</si>
  <si>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</si>
  <si>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</si>
  <si>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</si>
  <si>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</si>
  <si>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</si>
  <si>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</si>
  <si>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</si>
  <si>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</si>
  <si>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</si>
  <si>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</si>
  <si>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</si>
  <si>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</si>
  <si>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</si>
  <si>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</si>
  <si>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</si>
  <si>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</si>
  <si>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</si>
  <si>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</si>
  <si>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</si>
  <si>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</si>
  <si>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</si>
  <si>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</si>
  <si>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</si>
  <si>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</si>
  <si>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</si>
  <si>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</si>
  <si>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</si>
  <si>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</si>
  <si>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</si>
  <si>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</si>
  <si>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</si>
  <si>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</si>
  <si>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</si>
  <si>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</si>
  <si>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</si>
  <si>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</si>
  <si>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</si>
  <si>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</si>
  <si>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</si>
  <si>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</si>
  <si>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</si>
  <si>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</si>
  <si>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</si>
  <si>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</si>
  <si>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</si>
  <si>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</si>
  <si>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</si>
  <si>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</si>
  <si>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</si>
  <si>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</si>
  <si>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</si>
  <si>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</si>
  <si>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</si>
  <si>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</si>
  <si>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</si>
  <si>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</si>
  <si>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</si>
  <si>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</si>
  <si>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</si>
  <si>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</si>
  <si>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</si>
  <si>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</si>
  <si>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</si>
  <si>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</si>
  <si>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</si>
  <si>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</si>
  <si>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</si>
  <si>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</si>
  <si>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</si>
  <si>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</si>
  <si>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</si>
  <si>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</si>
  <si>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</si>
  <si>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</si>
  <si>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</si>
  <si>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</si>
  <si>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</si>
  <si>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</si>
  <si>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</si>
  <si>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</si>
  <si>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</si>
  <si>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</si>
  <si>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</si>
  <si>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</si>
  <si>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</si>
  <si>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</si>
  <si>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</si>
  <si>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</si>
  <si>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</si>
  <si>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</si>
  <si>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</si>
  <si>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</si>
  <si>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</si>
  <si>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</si>
  <si>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</si>
  <si>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</si>
  <si>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</si>
  <si>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</si>
  <si>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</si>
  <si>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</si>
  <si>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</si>
  <si>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</si>
  <si>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</si>
  <si>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</si>
  <si>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</si>
  <si>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</si>
  <si>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</si>
  <si>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</si>
  <si>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</si>
  <si>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</si>
  <si>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</si>
  <si>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</si>
  <si>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</si>
  <si>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</si>
  <si>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</si>
  <si>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</si>
  <si>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</si>
  <si>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</si>
  <si>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</si>
  <si>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</si>
  <si>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</si>
  <si>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</si>
  <si>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</si>
  <si>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</si>
  <si>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</si>
  <si>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</si>
  <si>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</si>
  <si>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</si>
  <si>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</si>
  <si>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</si>
  <si>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</si>
  <si>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</si>
  <si>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</si>
  <si>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</si>
  <si>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</si>
  <si>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</si>
  <si>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</si>
  <si>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</si>
  <si>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</si>
  <si>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</si>
  <si>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</si>
  <si>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</si>
  <si>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</si>
  <si>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</si>
  <si>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</si>
  <si>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</si>
  <si>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</si>
  <si>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</si>
  <si>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</si>
  <si>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</si>
  <si>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</si>
  <si>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</si>
  <si>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</si>
  <si>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</si>
  <si>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</si>
  <si>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</si>
  <si>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</si>
  <si>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</si>
  <si>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</si>
  <si>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</si>
  <si>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</si>
  <si>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</si>
  <si>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</si>
  <si>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</si>
  <si>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</si>
  <si>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</si>
  <si>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</si>
  <si>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</si>
  <si>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</si>
  <si>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</si>
  <si>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</si>
  <si>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</si>
  <si>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</si>
  <si>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</si>
  <si>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</si>
  <si>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</si>
  <si>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</si>
  <si>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</si>
  <si>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</si>
  <si>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</si>
  <si>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</si>
  <si>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</si>
  <si>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</si>
  <si>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</si>
  <si>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</si>
  <si>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</si>
  <si>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</si>
  <si>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</si>
  <si>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</si>
  <si>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</si>
  <si>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</si>
  <si>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</si>
  <si>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</si>
  <si>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</si>
  <si>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</si>
  <si>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</si>
  <si>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</si>
  <si>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</si>
  <si>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</si>
  <si>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</si>
  <si>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</si>
  <si>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</si>
  <si>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</si>
  <si>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</si>
  <si>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</si>
  <si>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</si>
  <si>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</si>
  <si>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</si>
  <si>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</si>
  <si>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</si>
  <si>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</si>
  <si>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</si>
  <si>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</si>
  <si>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</si>
  <si>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</si>
  <si>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</si>
  <si>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</si>
  <si>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</si>
  <si>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</si>
  <si>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</si>
  <si>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</si>
  <si>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</si>
  <si>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</si>
  <si>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</si>
  <si>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</si>
  <si>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</si>
  <si>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</si>
  <si>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</si>
  <si>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</si>
  <si>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</si>
  <si>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</si>
  <si>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</si>
  <si>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</si>
  <si>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</si>
  <si>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</si>
  <si>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</si>
  <si>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</si>
  <si>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</si>
  <si>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</si>
  <si>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</si>
  <si>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</si>
  <si>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</si>
  <si>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</si>
  <si>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</si>
  <si>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</si>
  <si>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</si>
  <si>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</si>
  <si>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</si>
  <si>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</si>
  <si>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</si>
  <si>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</si>
  <si>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</si>
  <si>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</si>
  <si>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</si>
  <si>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</si>
  <si>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</si>
  <si>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</si>
  <si>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</si>
  <si>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</si>
  <si>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</si>
  <si>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</si>
  <si>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</si>
  <si>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</si>
  <si>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</si>
  <si>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</si>
  <si>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</si>
  <si>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</si>
  <si>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</si>
  <si>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</si>
  <si>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</si>
  <si>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</si>
  <si>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</si>
  <si>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</si>
  <si>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</si>
  <si>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</si>
  <si>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</si>
  <si>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</si>
  <si>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</si>
  <si>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</si>
  <si>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</si>
  <si>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</si>
  <si>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</si>
  <si>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</si>
  <si>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</si>
  <si>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</si>
  <si>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</si>
  <si>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</si>
  <si>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</si>
  <si>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</si>
  <si>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</si>
  <si>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</si>
  <si>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</si>
  <si>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</si>
  <si>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</si>
  <si>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</si>
  <si>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</si>
  <si>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</si>
  <si>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</si>
  <si>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</si>
  <si>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</si>
  <si>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</si>
  <si>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</si>
  <si>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</si>
  <si>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</si>
  <si>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</si>
  <si>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</si>
  <si>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</si>
  <si>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</si>
  <si>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</si>
  <si>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</si>
  <si>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</si>
  <si>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</si>
  <si>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</si>
  <si>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</si>
  <si>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</si>
  <si>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</si>
  <si>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</si>
  <si>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</si>
  <si>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</si>
  <si>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</si>
  <si>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</si>
  <si>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</si>
  <si>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</si>
  <si>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</si>
  <si>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</si>
  <si>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</si>
  <si>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</si>
  <si>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</si>
  <si>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</si>
  <si>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</si>
  <si>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</si>
  <si>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</si>
  <si>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</si>
  <si>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</si>
  <si>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</si>
  <si>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</si>
  <si>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</si>
  <si>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</si>
  <si>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</si>
  <si>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</si>
  <si>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</si>
  <si>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</si>
  <si>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</si>
  <si>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</si>
  <si>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</si>
  <si>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</si>
  <si>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</si>
  <si>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</si>
  <si>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</si>
  <si>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</si>
  <si>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</si>
  <si>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</si>
  <si>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</si>
  <si>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</si>
  <si>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</si>
  <si>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</si>
  <si>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</si>
  <si>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</si>
  <si>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</si>
  <si>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</si>
  <si>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</si>
  <si>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</si>
  <si>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</si>
  <si>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</si>
  <si>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</si>
  <si>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</si>
  <si>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</si>
  <si>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</si>
  <si>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</si>
  <si>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</si>
  <si>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</si>
  <si>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</si>
  <si>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</si>
  <si>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</si>
  <si>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</si>
  <si>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</si>
  <si>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</si>
  <si>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</si>
  <si>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</si>
  <si>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</si>
  <si>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</si>
  <si>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</si>
  <si>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</si>
  <si>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</si>
  <si>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</si>
  <si>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</si>
  <si>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</si>
  <si>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</si>
  <si>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</si>
  <si>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</si>
  <si>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</si>
  <si>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</si>
  <si>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</si>
  <si>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</si>
  <si>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</si>
  <si>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</si>
  <si>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</si>
  <si>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</si>
  <si>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</si>
  <si>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</si>
  <si>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</si>
  <si>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</si>
  <si>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</si>
  <si>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</si>
  <si>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</si>
  <si>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</si>
  <si>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</si>
  <si>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</si>
  <si>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</si>
  <si>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</si>
  <si>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</si>
  <si>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</si>
  <si>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</si>
  <si>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</si>
  <si>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</si>
  <si>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</si>
  <si>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</si>
  <si>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</si>
  <si>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</si>
  <si>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</si>
  <si>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</si>
  <si>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</si>
  <si>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</si>
  <si>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</si>
  <si>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</si>
  <si>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</si>
  <si>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</si>
  <si>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</si>
  <si>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</si>
  <si>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</si>
  <si>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</si>
  <si>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</si>
  <si>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</si>
  <si>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</si>
  <si>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</si>
  <si>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</si>
  <si>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</si>
  <si>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</si>
  <si>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</si>
  <si>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</si>
  <si>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</si>
  <si>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</si>
  <si>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</si>
  <si>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</si>
  <si>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</si>
  <si>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</si>
  <si>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</si>
  <si>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</si>
  <si>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</si>
  <si>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</si>
  <si>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</si>
  <si>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</si>
  <si>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</si>
  <si>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</si>
  <si>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</si>
  <si>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</si>
  <si>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</si>
  <si>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</si>
  <si>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</si>
  <si>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</si>
  <si>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</si>
  <si>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</si>
  <si>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</si>
  <si>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</si>
  <si>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</si>
  <si>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</si>
  <si>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</si>
  <si>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</si>
  <si>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</si>
  <si>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</si>
  <si>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</si>
  <si>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</si>
  <si>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</si>
  <si>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</si>
  <si>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</si>
  <si>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</si>
  <si>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</si>
  <si>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</si>
  <si>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</si>
  <si>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</si>
  <si>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</si>
  <si>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</si>
  <si>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</si>
  <si>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</si>
  <si>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</si>
  <si>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</si>
  <si>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</si>
  <si>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</si>
  <si>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</si>
  <si>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</si>
  <si>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</si>
  <si>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</si>
  <si>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</si>
  <si>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</si>
  <si>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</si>
  <si>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</si>
  <si>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</si>
  <si>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</si>
  <si>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</si>
  <si>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</si>
  <si>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</si>
  <si>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</si>
  <si>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</si>
  <si>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</si>
  <si>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</si>
  <si>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</si>
  <si>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</si>
  <si>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</si>
  <si>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</si>
  <si>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</si>
  <si>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</si>
  <si>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</si>
  <si>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</si>
  <si>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</si>
  <si>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</si>
  <si>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</si>
  <si>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</si>
  <si>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</si>
  <si>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</si>
  <si>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</si>
  <si>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</si>
  <si>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</si>
  <si>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</si>
  <si>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</si>
  <si>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</si>
  <si>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</si>
  <si>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</si>
  <si>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</si>
  <si>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</si>
  <si>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</si>
  <si>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</si>
  <si>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</si>
  <si>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</si>
  <si>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</si>
  <si>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</si>
  <si>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</si>
  <si>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</si>
  <si>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</si>
  <si>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</si>
  <si>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</si>
  <si>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</si>
  <si>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</si>
  <si>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</si>
  <si>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</si>
  <si>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</si>
  <si>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</si>
  <si>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</si>
  <si>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</si>
  <si>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</si>
  <si>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</si>
  <si>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</si>
  <si>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</si>
  <si>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</si>
  <si>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</si>
  <si>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</si>
  <si>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</si>
  <si>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</si>
  <si>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</si>
  <si>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</si>
  <si>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</si>
  <si>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</si>
  <si>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</si>
  <si>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</si>
  <si>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</si>
  <si>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</si>
  <si>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</si>
  <si>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</si>
  <si>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</si>
  <si>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</si>
  <si>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</si>
  <si>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</si>
  <si>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</si>
  <si>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</si>
  <si>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</si>
  <si>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</si>
  <si>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</si>
  <si>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</si>
  <si>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</si>
  <si>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</si>
  <si>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</si>
  <si>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</si>
  <si>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</si>
  <si>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</si>
  <si>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</si>
  <si>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</si>
  <si>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</si>
  <si>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</si>
  <si>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</si>
  <si>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</si>
  <si>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</si>
  <si>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</si>
  <si>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</si>
  <si>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</si>
  <si>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</si>
  <si>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</si>
  <si>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</si>
  <si>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</si>
  <si>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</si>
  <si>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</si>
  <si>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</si>
  <si>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</si>
  <si>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</si>
  <si>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</si>
  <si>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</si>
  <si>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</si>
  <si>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</si>
  <si>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</si>
  <si>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</si>
  <si>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</si>
  <si>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</si>
  <si>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</si>
  <si>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</si>
  <si>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</si>
  <si>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</si>
  <si>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</si>
  <si>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</si>
  <si>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</si>
  <si>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</si>
  <si>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</si>
  <si>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</si>
  <si>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</si>
  <si>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</si>
  <si>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</si>
  <si>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</si>
  <si>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</si>
  <si>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</si>
  <si>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</si>
  <si>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</si>
  <si>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</si>
  <si>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</si>
  <si>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</si>
  <si>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</si>
  <si>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</si>
  <si>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</si>
  <si>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</si>
  <si>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</si>
  <si>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</si>
  <si>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</si>
  <si>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</si>
  <si>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</si>
  <si>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</si>
  <si>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</si>
  <si>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</si>
  <si>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</si>
  <si>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</si>
  <si>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</si>
  <si>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</si>
  <si>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</si>
  <si>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</si>
  <si>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</si>
  <si>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</si>
  <si>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</si>
  <si>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</si>
  <si>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</si>
  <si>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</si>
  <si>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</si>
  <si>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</si>
  <si>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</si>
  <si>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</si>
  <si>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</si>
  <si>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</si>
  <si>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</si>
  <si>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</si>
  <si>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</si>
  <si>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</si>
  <si>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</si>
  <si>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</si>
  <si>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</si>
  <si>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</si>
  <si>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</si>
  <si>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</si>
  <si>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</si>
  <si>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</si>
  <si>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</si>
  <si>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</si>
  <si>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</si>
  <si>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</si>
  <si>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</si>
  <si>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</si>
  <si>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</si>
  <si>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</si>
  <si>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</si>
  <si>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</si>
  <si>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</si>
  <si>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</si>
  <si>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</si>
  <si>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</si>
  <si>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</si>
  <si>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</si>
  <si>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</si>
  <si>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</si>
  <si>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</si>
  <si>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</si>
  <si>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</si>
  <si>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</si>
  <si>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</si>
  <si>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</si>
  <si>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</si>
  <si>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</si>
  <si>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</si>
  <si>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</si>
  <si>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</si>
  <si>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</si>
  <si>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</si>
  <si>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</si>
  <si>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</si>
  <si>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</si>
  <si>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</si>
  <si>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</si>
  <si>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</si>
  <si>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</si>
  <si>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</si>
  <si>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</si>
  <si>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</si>
  <si>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</si>
  <si>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</si>
  <si>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</si>
  <si>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</si>
  <si>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</si>
  <si>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</si>
  <si>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</si>
  <si>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</si>
  <si>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</si>
  <si>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</si>
  <si>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</si>
  <si>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</si>
  <si>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</si>
  <si>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</si>
  <si>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</si>
  <si>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</si>
  <si>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</si>
  <si>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</si>
  <si>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</si>
  <si>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</si>
  <si>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</si>
  <si>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</si>
  <si>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</si>
  <si>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</si>
  <si>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</si>
  <si>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</si>
  <si>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</si>
  <si>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</si>
  <si>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</si>
  <si>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</si>
  <si>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</si>
  <si>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</si>
  <si>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</si>
  <si>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</si>
  <si>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</si>
  <si>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</si>
  <si>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</si>
  <si>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</si>
  <si>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</si>
  <si>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</si>
  <si>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</si>
  <si>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</si>
  <si>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</si>
  <si>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</si>
  <si>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</si>
  <si>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</si>
  <si>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</si>
  <si>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</si>
  <si>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</si>
  <si>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</si>
  <si>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</si>
  <si>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</si>
  <si>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</si>
  <si>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</si>
  <si>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</si>
  <si>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</si>
  <si>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</si>
  <si>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</si>
  <si>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</si>
  <si>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</si>
  <si>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</si>
  <si>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</si>
  <si>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</si>
  <si>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</si>
  <si>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</si>
  <si>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</si>
  <si>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</si>
  <si>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</si>
  <si>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</si>
  <si>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</si>
  <si>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</si>
  <si>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</si>
  <si>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</si>
  <si>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</si>
  <si>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</si>
  <si>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</si>
  <si>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</si>
  <si>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</si>
  <si>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</si>
  <si>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</si>
  <si>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</si>
  <si>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</si>
  <si>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</si>
  <si>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</si>
  <si>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</si>
  <si>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</si>
  <si>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</si>
  <si>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</si>
  <si>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</si>
  <si>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</si>
  <si>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</si>
  <si>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</si>
  <si>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</si>
  <si>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</si>
  <si>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</si>
  <si>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</si>
  <si>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</si>
  <si>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</si>
  <si>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</si>
  <si>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</si>
  <si>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</si>
  <si>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</si>
  <si>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</si>
  <si>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</si>
  <si>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</si>
  <si>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</si>
  <si>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</si>
  <si>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</si>
  <si>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</si>
  <si>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</si>
  <si>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</si>
  <si>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</si>
  <si>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</si>
  <si>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</si>
  <si>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</si>
  <si>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</si>
  <si>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</si>
  <si>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</si>
  <si>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</si>
  <si>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</si>
  <si>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</si>
  <si>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</si>
  <si>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</si>
  <si>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</si>
  <si>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</si>
  <si>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</si>
  <si>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</si>
  <si>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</si>
  <si>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</si>
  <si>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</si>
  <si>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</si>
  <si>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</si>
  <si>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</si>
  <si>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</si>
  <si>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</si>
  <si>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</si>
  <si>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</si>
  <si>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</si>
  <si>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</si>
  <si>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</si>
  <si>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</si>
  <si>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</si>
  <si>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</si>
  <si>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</si>
  <si>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</si>
  <si>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</si>
  <si>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</si>
  <si>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</si>
  <si>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</si>
  <si>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</si>
  <si>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</si>
  <si>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</si>
  <si>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</si>
  <si>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</si>
  <si>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</si>
  <si>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</si>
  <si>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</si>
  <si>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</si>
  <si>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</si>
  <si>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</si>
  <si>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</si>
  <si>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</si>
  <si>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</si>
  <si>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</si>
  <si>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</si>
  <si>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</si>
  <si>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</si>
  <si>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</si>
  <si>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</si>
  <si>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</si>
  <si>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</si>
  <si>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</si>
  <si>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</si>
  <si>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</si>
  <si>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</si>
  <si>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</si>
  <si>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</si>
  <si>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</si>
  <si>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</si>
  <si>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</si>
  <si>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</si>
  <si>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</si>
  <si>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</si>
  <si>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</si>
  <si>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</si>
  <si>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</si>
  <si>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</si>
  <si>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</si>
  <si>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</si>
  <si>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</si>
  <si>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</si>
  <si>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</si>
  <si>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</si>
  <si>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</si>
  <si>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</si>
  <si>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</si>
  <si>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</si>
  <si>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</si>
  <si>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</si>
  <si>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</si>
  <si>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</si>
  <si>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</si>
  <si>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</si>
  <si>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</si>
  <si>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</si>
  <si>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</si>
  <si>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</si>
  <si>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</si>
  <si>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</si>
  <si>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</si>
  <si>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</si>
  <si>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</si>
  <si>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</si>
  <si>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</si>
  <si>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</si>
  <si>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</si>
  <si>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</si>
  <si>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</si>
  <si>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</si>
  <si>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</si>
  <si>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</si>
  <si>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</si>
  <si>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</si>
  <si>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</si>
  <si>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</si>
  <si>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</si>
  <si>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</si>
  <si>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</si>
  <si>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</si>
  <si>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</si>
  <si>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</si>
  <si>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</si>
  <si>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</si>
  <si>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</si>
  <si>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</si>
  <si>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</si>
  <si>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</si>
  <si>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</si>
  <si>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</si>
  <si>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</si>
  <si>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voc transportation reported in FY19 $1.32 not reported</t>
  </si>
  <si>
    <t>Includes $4017.61 of Charter School Sped Diff. Aid</t>
  </si>
  <si>
    <t>6/06</t>
  </si>
  <si>
    <t>7/26</t>
  </si>
  <si>
    <t>11/14</t>
  </si>
  <si>
    <t>07/29</t>
  </si>
  <si>
    <t>Bedford School District</t>
  </si>
  <si>
    <t>PY Audit</t>
  </si>
  <si>
    <t>PY Audit Fund Balance adjs.</t>
  </si>
  <si>
    <t>Not applying for an Indirect Cost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</si>
</sst>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7">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cellStyleXfs>
  <cellXfs count="377">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0" fontId="65" fillId="0" borderId="0" xfId="0" applyFont="1"/>
    <xf numFmtId="0" fontId="29" fillId="0" borderId="0" xfId="0" applyFont="1"/>
    <xf numFmtId="0" fontId="64" fillId="0" borderId="0" xfId="0" applyFont="1"/>
    <xf numFmtId="4" fontId="65" fillId="0" borderId="0" xfId="0" applyNumberFormat="1" applyFont="1" applyAlignment="1"/>
    <xf numFmtId="4" fontId="65" fillId="0" borderId="5" xfId="0" applyNumberFormat="1" applyFont="1" applyBorder="1" applyAlignment="1"/>
    <xf numFmtId="0" fontId="65" fillId="0" borderId="0" xfId="0" applyFont="1" applyAlignment="1">
      <alignment horizontal="center"/>
    </xf>
    <xf numFmtId="0" fontId="67" fillId="0" borderId="0" xfId="0" applyFont="1" applyAlignment="1">
      <alignment horizontal="right"/>
    </xf>
    <xf numFmtId="0" fontId="65" fillId="41"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pplyProtection="1">
      <alignment horizontal="center"/>
    </xf>
    <xf numFmtId="165" fontId="68" fillId="0" borderId="0" xfId="0" applyNumberFormat="1" applyFont="1" applyAlignment="1" applyProtection="1">
      <alignment horizontal="left"/>
    </xf>
    <xf numFmtId="40" fontId="4" fillId="41" borderId="0" xfId="0" applyNumberFormat="1" applyFont="1" applyFill="1" applyProtection="1">
      <protection locked="0"/>
    </xf>
    <xf numFmtId="164" fontId="37"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1"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4" fillId="7" borderId="0" xfId="0" applyNumberFormat="1" applyFont="1" applyFill="1" applyProtection="1"/>
    <xf numFmtId="4" fontId="0" fillId="41" borderId="0" xfId="0" applyNumberFormat="1" applyFill="1" applyProtection="1">
      <protection locked="0"/>
    </xf>
    <xf numFmtId="40" fontId="12" fillId="5" borderId="0" xfId="0" applyNumberFormat="1" applyFont="1" applyFill="1" applyProtection="1">
      <protection locked="0"/>
    </xf>
    <xf numFmtId="0" fontId="12" fillId="0" borderId="0" xfId="0" applyFont="1" applyProtection="1">
      <protection locked="0"/>
    </xf>
    <xf numFmtId="4" fontId="0" fillId="0" borderId="0" xfId="0" applyNumberFormat="1" applyProtection="1">
      <protection locked="0"/>
    </xf>
    <xf numFmtId="4" fontId="0" fillId="0" borderId="0" xfId="0" applyNumberFormat="1" applyProtection="1">
      <protection locked="0"/>
    </xf>
    <xf numFmtId="4" fontId="0" fillId="0" borderId="0" xfId="0" applyNumberFormat="1" applyProtection="1">
      <protection locked="0"/>
    </xf>
    <xf numFmtId="0" fontId="65" fillId="0" borderId="0" xfId="0" applyFont="1" applyAlignment="1">
      <alignment horizontal="center"/>
    </xf>
    <xf numFmtId="49" fontId="65" fillId="7" borderId="0" xfId="0" applyNumberFormat="1" applyFont="1" applyFill="1" applyAlignment="1"/>
    <xf numFmtId="0" fontId="65" fillId="7" borderId="0" xfId="0" applyFont="1" applyFill="1" applyAlignment="1"/>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1" fillId="0" borderId="0" xfId="0" applyNumberFormat="1" applyFont="1" applyAlignment="1" applyProtection="1">
      <alignment horizontal="center"/>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cellXfs>
  <cellStyles count="57">
    <cellStyle name="20% - Accent1" xfId="17" builtinId="30" customBuiltin="1"/>
    <cellStyle name="20% - Accent1 2" xfId="43"/>
    <cellStyle name="20% - Accent2" xfId="21" builtinId="34" customBuiltin="1"/>
    <cellStyle name="20% - Accent2 2" xfId="45"/>
    <cellStyle name="20% - Accent3" xfId="25" builtinId="38" customBuiltin="1"/>
    <cellStyle name="20% - Accent3 2" xfId="47"/>
    <cellStyle name="20% - Accent4" xfId="29" builtinId="42" customBuiltin="1"/>
    <cellStyle name="20% - Accent4 2" xfId="49"/>
    <cellStyle name="20% - Accent5" xfId="33" builtinId="46" customBuiltin="1"/>
    <cellStyle name="20% - Accent5 2" xfId="51"/>
    <cellStyle name="20% - Accent6" xfId="37" builtinId="50" customBuiltin="1"/>
    <cellStyle name="20% - Accent6 2" xfId="53"/>
    <cellStyle name="40% - Accent1" xfId="18" builtinId="31" customBuiltin="1"/>
    <cellStyle name="40% - Accent1 2" xfId="44"/>
    <cellStyle name="40% - Accent2" xfId="22" builtinId="35" customBuiltin="1"/>
    <cellStyle name="40% - Accent2 2" xfId="46"/>
    <cellStyle name="40% - Accent3" xfId="26" builtinId="39" customBuiltin="1"/>
    <cellStyle name="40% - Accent3 2" xfId="48"/>
    <cellStyle name="40% - Accent4" xfId="30" builtinId="43" customBuiltin="1"/>
    <cellStyle name="40% - Accent4 2" xfId="50"/>
    <cellStyle name="40% - Accent5" xfId="34" builtinId="47" customBuiltin="1"/>
    <cellStyle name="40% - Accent5 2" xfId="52"/>
    <cellStyle name="40% - Accent6" xfId="38" builtinId="51" customBuiltin="1"/>
    <cellStyle name="40% - Accent6 2" xfId="54"/>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55"/>
    <cellStyle name="Note 2" xfId="42"/>
    <cellStyle name="Note 2 2" xfId="56"/>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07" zoomScaleNormal="107" workbookViewId="0">
      <pane xSplit="5" ySplit="3" topLeftCell="F638"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1648</v>
      </c>
      <c r="B2" s="21">
        <v>41</v>
      </c>
      <c r="C2" s="21">
        <v>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6404909.44-3618996.21+368677.99+164180.96+3943.98</f>
        <v>3322716.1600000006</v>
      </c>
      <c r="G9" s="18">
        <v>110</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3618996.21</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t="s">
        <v>286</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377739.78</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t="s">
        <v>286</v>
      </c>
      <c r="G13" s="18">
        <f>4467.56+25.35</f>
        <v>4492.9100000000008</v>
      </c>
      <c r="H13" s="18">
        <f>14305.58+43457.01+30794.19+11137.09+399+900+360676.66</f>
        <v>461669.52999999997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394692.86-2410</f>
        <v>392282.86</v>
      </c>
      <c r="G14" s="18">
        <v>2410</v>
      </c>
      <c r="H14" s="18">
        <v>70945</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16380.45</v>
      </c>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222798.58</v>
      </c>
      <c r="G17" s="18">
        <v>6875</v>
      </c>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18613.509999999998</v>
      </c>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7591787.7700000014</v>
      </c>
      <c r="G19" s="41">
        <f>SUM(G9:G18)</f>
        <v>391627.69</v>
      </c>
      <c r="H19" s="41">
        <f>SUM(H9:H18)</f>
        <v>532614.53</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t="s">
        <v>286</v>
      </c>
      <c r="G22" s="18"/>
      <c r="H22" s="18">
        <f>760380.9-677961.09+377636.88</f>
        <v>460056.69000000006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t="s">
        <v>286</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536802.93000000005</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6640</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t="s">
        <v>286</v>
      </c>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2735605</f>
        <v>2735605</v>
      </c>
      <c r="G28" s="18"/>
      <c r="H28" s="18">
        <v>57200.95</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125200+103.87</f>
        <v>125303.87</v>
      </c>
      <c r="G30" s="18">
        <f>177077.18+237.66-0.45</f>
        <v>177314.38999999998</v>
      </c>
      <c r="H30" s="18">
        <f>7800.26+7556.63</f>
        <v>15356.89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33646</v>
      </c>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3437997.8000000003</v>
      </c>
      <c r="G32" s="41">
        <f>SUM(G22:G31)</f>
        <v>177314.38999999998</v>
      </c>
      <c r="H32" s="41">
        <f>SUM(H22:H31)</f>
        <v>532614.53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16380.45</v>
      </c>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222798.58</v>
      </c>
      <c r="G36" s="18">
        <v>6875</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207438.3</f>
        <v>207438.3</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t="s">
        <v>286</v>
      </c>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138052.34</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3500788+451673-138052.34-37850.06</f>
        <v>3776558.6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4153789.97</v>
      </c>
      <c r="G51" s="41">
        <f>SUM(G35:G50)</f>
        <v>214313.3</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7591787.7700000005</v>
      </c>
      <c r="G52" s="41">
        <f>G51+G32</f>
        <v>391627.68999999994</v>
      </c>
      <c r="H52" s="41">
        <f>H51+H32</f>
        <v>532614.53</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47407207.63-219618.6</f>
        <v>47187589.030000001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47187589.030000001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366524+59245+21900</f>
        <v>447669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55325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f>2850+150</f>
        <v>3000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492336.51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998330.51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f>2898.74</f>
        <v>2898.74</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t="s">
        <v>286</v>
      </c>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2898.74</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23593.57</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1126941.6</f>
        <v>1126941.6000000001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77315</v>
      </c>
      <c r="G101" s="18">
        <v>630</v>
      </c>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48971.5+7800.26</f>
        <v>56771.76</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755.86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123907+39700+27600+29065.52</f>
        <v>220272.52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321936.95</v>
      </c>
      <c r="G111" s="41">
        <f>SUM(G96:G110)</f>
        <v>1127571.6000000001</v>
      </c>
      <c r="H111" s="41">
        <f>SUM(H96:H110)</f>
        <v>56771.76</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48510755.230000004</v>
      </c>
      <c r="G112" s="41">
        <f>G60+G111</f>
        <v>1127571.6000000001</v>
      </c>
      <c r="H112" s="41">
        <f>H60+H79+H94+H111</f>
        <v>56771.76</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9665063.2400000002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7937634.4+219618.6</f>
        <v>8157253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27407.39</f>
        <v>27407.39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17849723.630000003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522698.74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879910.09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v>4200.87</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22579.24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1402610.1500000001</v>
      </c>
      <c r="G136" s="41">
        <f>SUM(G123:G135)</f>
        <v>22579.24</v>
      </c>
      <c r="H136" s="41">
        <f>SUM(H123:H135)</f>
        <v>4200.87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19252333.780000001</v>
      </c>
      <c r="G140" s="41">
        <f>G121+SUM(G136:G137)</f>
        <v>22579.24</v>
      </c>
      <c r="H140" s="41">
        <f>H121+SUM(H136:H139)</f>
        <v>4200.87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79144.65+7556.63+43457.01</f>
        <v>130158.29000000001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72486.02+30794.19+11137.09+399-1055.21</f>
        <v>113761.09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194652.92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459187.73+900+360676.66</f>
        <v>820764.3899999999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33835.440000000002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t="s">
        <v>286</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14305.58</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33835.440000000002</v>
      </c>
      <c r="G163" s="41">
        <f>SUM(G150:G162)</f>
        <v>194652.92</v>
      </c>
      <c r="H163" s="41">
        <f>SUM(H150:H162)</f>
        <v>1078989.3500000001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33835.440000000002</v>
      </c>
      <c r="G170" s="41">
        <f>G147+G163+SUM(G164:G169)</f>
        <v>194652.92</v>
      </c>
      <c r="H170" s="41">
        <f>H147+H163+SUM(H164:H169)</f>
        <v>1078989.3500000001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67796924.450000003</v>
      </c>
      <c r="G194" s="47">
        <f>G112+G140+G170+G193</f>
        <v>1344803.76</v>
      </c>
      <c r="H194" s="47">
        <f>H112+H140+H170+H193</f>
        <v>1139961.98</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21937.7+646930.86+8167456.62+486711.72</f>
        <v>9323036.9000000004</v>
      </c>
      <c r="G198" s="18">
        <f>51168.44+2178.58+147.71+4561.17+115153.69+653+4563600.68</f>
        <v>4737463.2699999996</v>
      </c>
      <c r="H198" s="18">
        <f>9112.5+46208.34</f>
        <v>55320.84</v>
      </c>
      <c r="I198" s="18">
        <f>154.04+297127.76+3135.67</f>
        <v>300417.46999999997</v>
      </c>
      <c r="J198" s="18">
        <v>19535.41</v>
      </c>
      <c r="K198" s="18"/>
      <c r="L198" s="19">
        <f>SUM(F198:K198)</f>
        <v>14435773.890000001</v>
      </c>
      <c r="M198" s="8"/>
      <c r="N198" s="266"/>
    </row>
    <row r="199" spans="1:14" s="3" customFormat="1" ht="12.2" customHeight="1" x14ac:dyDescent="0.15">
      <c r="A199" s="1" t="s">
        <v>439</v>
      </c>
      <c r="B199" s="2" t="s">
        <v>341</v>
      </c>
      <c r="C199" s="2" t="s">
        <v>291</v>
      </c>
      <c r="D199" s="2" t="s">
        <v>431</v>
      </c>
      <c r="E199" s="6">
        <v>1200</v>
      </c>
      <c r="F199" s="18">
        <f>10839.39+180899.02+3615647.76+167069.93</f>
        <v>3974456.1</v>
      </c>
      <c r="G199" s="18">
        <f>14667.99+1929.41+32200.03+1994739.69</f>
        <v>2043537.1199999999</v>
      </c>
      <c r="H199" s="18">
        <f>6932.45+450487.3</f>
        <v>457419.75</v>
      </c>
      <c r="I199" s="18">
        <f>30.58+19401.57+2307.68</f>
        <v>21739.83</v>
      </c>
      <c r="J199" s="18"/>
      <c r="K199" s="18">
        <v>3084.55</v>
      </c>
      <c r="L199" s="19">
        <f>SUM(F199:K199)</f>
        <v>6500237.3499999996</v>
      </c>
      <c r="M199" s="8"/>
      <c r="N199" s="266"/>
    </row>
    <row r="200" spans="1:14" s="3" customFormat="1" ht="12.2" customHeight="1" x14ac:dyDescent="0.15">
      <c r="A200" s="1" t="s">
        <v>440</v>
      </c>
      <c r="B200" s="2" t="s">
        <v>341</v>
      </c>
      <c r="C200" s="2" t="s">
        <v>292</v>
      </c>
      <c r="D200" s="2" t="s">
        <v>431</v>
      </c>
      <c r="E200" s="6">
        <v>1300</v>
      </c>
      <c r="F200" s="18">
        <v>0</v>
      </c>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58959.73+2178.56</f>
        <v>61138.29</v>
      </c>
      <c r="G201" s="18">
        <v>32240.04</v>
      </c>
      <c r="H201" s="18"/>
      <c r="I201" s="18"/>
      <c r="J201" s="18"/>
      <c r="K201" s="18"/>
      <c r="L201" s="19">
        <f>SUM(F201:K201)</f>
        <v>93378.33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90655.14+1099096.89</f>
        <v>1189752.0299999998</v>
      </c>
      <c r="G203" s="18">
        <f>6935.12+16136.61+579586.52</f>
        <v>602658.25</v>
      </c>
      <c r="H203" s="18">
        <f>1524+525677.74+48221.88</f>
        <v>575423.62</v>
      </c>
      <c r="I203" s="18">
        <f>697.78+1940.18+12077.33+4705.36</f>
        <v>19420.650000000001</v>
      </c>
      <c r="J203" s="18"/>
      <c r="K203" s="18"/>
      <c r="L203" s="19">
        <f t="shared" ref="L203:L209" si="0">SUM(F203:K203)</f>
        <v>2387254.5499999998</v>
      </c>
      <c r="M203" s="8"/>
      <c r="N203" s="266"/>
    </row>
    <row r="204" spans="1:14" s="3" customFormat="1" ht="12.2" customHeight="1" x14ac:dyDescent="0.15">
      <c r="A204" s="1" t="s">
        <v>443</v>
      </c>
      <c r="B204" s="2" t="s">
        <v>341</v>
      </c>
      <c r="C204" s="2" t="s">
        <v>295</v>
      </c>
      <c r="D204" s="2" t="s">
        <v>431</v>
      </c>
      <c r="E204" s="6">
        <v>2200</v>
      </c>
      <c r="F204" s="18">
        <f>14766.46+291676.34</f>
        <v>306442.80000000005</v>
      </c>
      <c r="G204" s="18">
        <f>1129.63+2628.43+97225.26+153809.62</f>
        <v>254792.94</v>
      </c>
      <c r="H204" s="18">
        <f>895.84+12278.59+16663.53+106.58</f>
        <v>29944.54</v>
      </c>
      <c r="I204" s="18">
        <f>40795.85+8084.08</f>
        <v>48879.93</v>
      </c>
      <c r="J204" s="18">
        <f>653.04+106467.03</f>
        <v>107120.06999999999</v>
      </c>
      <c r="K204" s="18">
        <v>18795.18</v>
      </c>
      <c r="L204" s="19">
        <f t="shared" si="0"/>
        <v>765975.46000000008</v>
      </c>
      <c r="M204" s="8"/>
      <c r="N204" s="266"/>
    </row>
    <row r="205" spans="1:14" s="3" customFormat="1" ht="12.2" customHeight="1" x14ac:dyDescent="0.15">
      <c r="A205" s="1" t="s">
        <v>444</v>
      </c>
      <c r="B205" s="2" t="s">
        <v>341</v>
      </c>
      <c r="C205" s="2" t="s">
        <v>296</v>
      </c>
      <c r="D205" s="2" t="s">
        <v>431</v>
      </c>
      <c r="E205" s="6">
        <v>2300</v>
      </c>
      <c r="F205" s="18">
        <f>4231.84+426744.62</f>
        <v>430976.46</v>
      </c>
      <c r="G205" s="18">
        <f>323.74+472.7+225035.14</f>
        <v>225831.58000000002</v>
      </c>
      <c r="H205" s="18">
        <f>48450.78+2636.75+9697.38</f>
        <v>60784.909999999996</v>
      </c>
      <c r="I205" s="18">
        <f>91.43+9262.87</f>
        <v>9354.3000000000011</v>
      </c>
      <c r="J205" s="18">
        <v>9022.65</v>
      </c>
      <c r="K205" s="18">
        <v>15014.97</v>
      </c>
      <c r="L205" s="19">
        <f t="shared" si="0"/>
        <v>750984.87000000011</v>
      </c>
      <c r="M205" s="8"/>
      <c r="N205" s="266"/>
    </row>
    <row r="206" spans="1:14" s="3" customFormat="1" ht="12.2" customHeight="1" x14ac:dyDescent="0.15">
      <c r="A206" s="1" t="s">
        <v>445</v>
      </c>
      <c r="B206" s="2" t="s">
        <v>341</v>
      </c>
      <c r="C206" s="2" t="s">
        <v>297</v>
      </c>
      <c r="D206" s="2" t="s">
        <v>431</v>
      </c>
      <c r="E206" s="6">
        <v>2400</v>
      </c>
      <c r="F206" s="18">
        <f>3663+1139235.82+240472.64</f>
        <v>1383371.46</v>
      </c>
      <c r="G206" s="18">
        <f>280.22+409.16+727561.35</f>
        <v>728250.73</v>
      </c>
      <c r="H206" s="18">
        <f>65+10082.51</f>
        <v>10147.51</v>
      </c>
      <c r="I206" s="18">
        <f>6.48+6858.34+6471.74</f>
        <v>13336.56</v>
      </c>
      <c r="J206" s="18"/>
      <c r="K206" s="18">
        <f>30+8011.58</f>
        <v>8041.58</v>
      </c>
      <c r="L206" s="19">
        <f t="shared" si="0"/>
        <v>2143147.84</v>
      </c>
      <c r="M206" s="8"/>
      <c r="N206" s="266"/>
    </row>
    <row r="207" spans="1:14" s="3" customFormat="1" ht="12.2" customHeight="1" x14ac:dyDescent="0.15">
      <c r="A207" s="1" t="s">
        <v>446</v>
      </c>
      <c r="B207" s="2" t="s">
        <v>341</v>
      </c>
      <c r="C207" s="2" t="s">
        <v>298</v>
      </c>
      <c r="D207" s="2" t="s">
        <v>431</v>
      </c>
      <c r="E207" s="6">
        <v>2500</v>
      </c>
      <c r="F207" s="18">
        <f>2262.62+124881.3</f>
        <v>127143.92</v>
      </c>
      <c r="G207" s="18">
        <f>173.09+252.74+65853.63</f>
        <v>66279.460000000006</v>
      </c>
      <c r="H207" s="18">
        <f>134902.22+109.3</f>
        <v>135011.51999999999</v>
      </c>
      <c r="I207" s="18"/>
      <c r="J207" s="18"/>
      <c r="K207" s="18">
        <v>1648.89</v>
      </c>
      <c r="L207" s="19">
        <f t="shared" si="0"/>
        <v>330083.79000000004</v>
      </c>
      <c r="M207" s="8"/>
      <c r="N207" s="266"/>
    </row>
    <row r="208" spans="1:14" s="3" customFormat="1" ht="12.2" customHeight="1" x14ac:dyDescent="0.15">
      <c r="A208" s="1" t="s">
        <v>447</v>
      </c>
      <c r="B208" s="2" t="s">
        <v>341</v>
      </c>
      <c r="C208" s="2" t="s">
        <v>299</v>
      </c>
      <c r="D208" s="2" t="s">
        <v>431</v>
      </c>
      <c r="E208" s="6">
        <v>2600</v>
      </c>
      <c r="F208" s="18">
        <f>4205.57+16559.12+631353.73+239752.24</f>
        <v>891870.65999999992</v>
      </c>
      <c r="G208" s="18">
        <f>1588.5+1849.65+407.56+459360.12</f>
        <v>463205.83</v>
      </c>
      <c r="H208" s="18">
        <f>11656.37+60551.6+293512.96+117710.88</f>
        <v>483431.81000000006</v>
      </c>
      <c r="I208" s="18">
        <f>1985.71+385397.49+144688.89</f>
        <v>532072.09000000008</v>
      </c>
      <c r="J208" s="18">
        <v>13907.91</v>
      </c>
      <c r="K208" s="18">
        <v>600.96</v>
      </c>
      <c r="L208" s="19">
        <f t="shared" si="0"/>
        <v>2385089.2600000002</v>
      </c>
      <c r="M208" s="8"/>
      <c r="N208" s="266"/>
    </row>
    <row r="209" spans="1:14" s="3" customFormat="1" ht="12.2" customHeight="1" x14ac:dyDescent="0.15">
      <c r="A209" s="1" t="s">
        <v>448</v>
      </c>
      <c r="B209" s="2" t="s">
        <v>341</v>
      </c>
      <c r="C209" s="2" t="s">
        <v>300</v>
      </c>
      <c r="D209" s="2" t="s">
        <v>431</v>
      </c>
      <c r="E209" s="6">
        <v>2700</v>
      </c>
      <c r="F209" s="18">
        <v>34463.93</v>
      </c>
      <c r="G209" s="18">
        <v>18173.86</v>
      </c>
      <c r="H209" s="18">
        <v>1219454.1299999999</v>
      </c>
      <c r="I209" s="18" t="s">
        <v>286</v>
      </c>
      <c r="J209" s="18" t="s">
        <v>286</v>
      </c>
      <c r="K209" s="18"/>
      <c r="L209" s="19">
        <f t="shared" si="0"/>
        <v>1272091.92</v>
      </c>
      <c r="M209" s="8"/>
      <c r="N209" s="266"/>
    </row>
    <row r="210" spans="1:14" s="3" customFormat="1" ht="12.2" customHeight="1" x14ac:dyDescent="0.15">
      <c r="A210" s="1" t="s">
        <v>449</v>
      </c>
      <c r="B210" s="2" t="s">
        <v>341</v>
      </c>
      <c r="C210" s="2" t="s">
        <v>343</v>
      </c>
      <c r="D210" s="2" t="s">
        <v>431</v>
      </c>
      <c r="E210" s="6">
        <v>2800</v>
      </c>
      <c r="F210" s="18"/>
      <c r="G210" s="18"/>
      <c r="H210" s="18">
        <f>36819.78+15938.56</f>
        <v>52758.34</v>
      </c>
      <c r="I210" s="18"/>
      <c r="J210" s="18" t="s">
        <v>286</v>
      </c>
      <c r="K210" s="18"/>
      <c r="L210" s="19">
        <f>SUM(F210:K210)</f>
        <v>52758.34</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17722652.550000001</v>
      </c>
      <c r="G212" s="41">
        <f t="shared" si="1"/>
        <v>9172433.0800000001</v>
      </c>
      <c r="H212" s="41">
        <f t="shared" si="1"/>
        <v>3079696.9699999997</v>
      </c>
      <c r="I212" s="41">
        <f t="shared" si="1"/>
        <v>945220.83000000007</v>
      </c>
      <c r="J212" s="41">
        <f t="shared" si="1"/>
        <v>149586.04</v>
      </c>
      <c r="K212" s="41">
        <f t="shared" si="1"/>
        <v>47186.13</v>
      </c>
      <c r="L212" s="41">
        <f t="shared" si="1"/>
        <v>31116775.600000005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7611.04+298631.49+3107893.5+168859.17</f>
        <v>3582995.1999999997</v>
      </c>
      <c r="G216" s="18">
        <f>23427.55+755.84+51.24+1582.45+53156.41+1727929.26</f>
        <v>1806902.75</v>
      </c>
      <c r="H216" s="18">
        <f>489.44+19448.24</f>
        <v>19937.68</v>
      </c>
      <c r="I216" s="18">
        <f>421.94+73578.61+1087.88</f>
        <v>75088.430000000008</v>
      </c>
      <c r="J216" s="18">
        <v>5158.08</v>
      </c>
      <c r="K216" s="18"/>
      <c r="L216" s="19">
        <f>SUM(F216:K216)</f>
        <v>5490082.1399999987</v>
      </c>
      <c r="M216" s="8"/>
      <c r="N216" s="266"/>
    </row>
    <row r="217" spans="1:14" s="3" customFormat="1" ht="12.2" customHeight="1" x14ac:dyDescent="0.15">
      <c r="A217" s="1" t="s">
        <v>439</v>
      </c>
      <c r="B217" s="2" t="s">
        <v>346</v>
      </c>
      <c r="C217" s="2" t="s">
        <v>291</v>
      </c>
      <c r="D217" s="2" t="s">
        <v>431</v>
      </c>
      <c r="E217" s="6">
        <v>1200</v>
      </c>
      <c r="F217" s="18">
        <f>3760.61+47730.32+1030515.22+57963.04</f>
        <v>1139969.19</v>
      </c>
      <c r="G217" s="18">
        <f>3939.06+669.39+8496+573987</f>
        <v>587091.44999999995</v>
      </c>
      <c r="H217" s="18">
        <f>1345.96+144500.03</f>
        <v>145845.99</v>
      </c>
      <c r="I217" s="18">
        <f>603+4900.48+800.62</f>
        <v>6304.0999999999995</v>
      </c>
      <c r="J217" s="18"/>
      <c r="K217" s="18">
        <v>1070.1500000000001</v>
      </c>
      <c r="L217" s="19">
        <f>SUM(F217:K217)</f>
        <v>1880280.88</v>
      </c>
      <c r="M217" s="8"/>
      <c r="N217" s="266"/>
    </row>
    <row r="218" spans="1:14" s="3" customFormat="1" ht="12.2" customHeight="1" x14ac:dyDescent="0.15">
      <c r="A218" s="1" t="s">
        <v>440</v>
      </c>
      <c r="B218" s="2" t="s">
        <v>346</v>
      </c>
      <c r="C218" s="2" t="s">
        <v>292</v>
      </c>
      <c r="D218" s="2" t="s">
        <v>431</v>
      </c>
      <c r="E218" s="6">
        <v>1300</v>
      </c>
      <c r="F218" s="18">
        <v>0</v>
      </c>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114248.24+755.83</f>
        <v>115004.07</v>
      </c>
      <c r="G219" s="18">
        <v>60645.07</v>
      </c>
      <c r="H219" s="18">
        <f>20+632.5+16382.55</f>
        <v>17035.05</v>
      </c>
      <c r="I219" s="18">
        <f>75.15+8729.99</f>
        <v>8805.14</v>
      </c>
      <c r="J219" s="18"/>
      <c r="K219" s="18">
        <v>1865</v>
      </c>
      <c r="L219" s="19">
        <f>SUM(F219:K219)</f>
        <v>203354.33000000002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40202.29+346340.97</f>
        <v>386543.25999999995</v>
      </c>
      <c r="G221" s="18">
        <f>3075.48+7156.01+182635.91</f>
        <v>192867.4</v>
      </c>
      <c r="H221" s="18">
        <f>110796.12+16730.04</f>
        <v>127526.16</v>
      </c>
      <c r="I221" s="18">
        <f>161.95+673.13+4550.07+1632.47</f>
        <v>7017.62</v>
      </c>
      <c r="J221" s="18"/>
      <c r="K221" s="18"/>
      <c r="L221" s="19">
        <f t="shared" ref="L221:L227" si="2">SUM(F221:K221)</f>
        <v>713954.44</v>
      </c>
      <c r="M221" s="8"/>
      <c r="N221" s="266"/>
    </row>
    <row r="222" spans="1:14" s="3" customFormat="1" ht="12.2" customHeight="1" x14ac:dyDescent="0.15">
      <c r="A222" s="1" t="s">
        <v>443</v>
      </c>
      <c r="B222" s="2" t="s">
        <v>346</v>
      </c>
      <c r="C222" s="2" t="s">
        <v>295</v>
      </c>
      <c r="D222" s="2" t="s">
        <v>431</v>
      </c>
      <c r="E222" s="6">
        <v>2200</v>
      </c>
      <c r="F222" s="18">
        <f>5123.06+101193.83</f>
        <v>106316.89</v>
      </c>
      <c r="G222" s="18">
        <f>391.91+911.9+33731.21+53362.52</f>
        <v>88397.54</v>
      </c>
      <c r="H222" s="18">
        <f>4259.92+5781.23+36.98</f>
        <v>10078.129999999999</v>
      </c>
      <c r="I222" s="18">
        <f>14236.75+2804.68</f>
        <v>17041.43</v>
      </c>
      <c r="J222" s="18">
        <v>36937.54</v>
      </c>
      <c r="K222" s="18">
        <v>6520.78</v>
      </c>
      <c r="L222" s="19">
        <f t="shared" si="2"/>
        <v>265292.31</v>
      </c>
      <c r="M222" s="8"/>
      <c r="N222" s="266"/>
    </row>
    <row r="223" spans="1:14" s="3" customFormat="1" ht="12.2" customHeight="1" x14ac:dyDescent="0.15">
      <c r="A223" s="1" t="s">
        <v>444</v>
      </c>
      <c r="B223" s="2" t="s">
        <v>346</v>
      </c>
      <c r="C223" s="2" t="s">
        <v>296</v>
      </c>
      <c r="D223" s="2" t="s">
        <v>431</v>
      </c>
      <c r="E223" s="6">
        <v>2300</v>
      </c>
      <c r="F223" s="18">
        <f>1468.19+148054.25</f>
        <v>149522.44</v>
      </c>
      <c r="G223" s="18">
        <f>112.32+164+78073.42</f>
        <v>78349.740000000005</v>
      </c>
      <c r="H223" s="18">
        <f>16809.45+914.79+3364.4</f>
        <v>21088.640000000003</v>
      </c>
      <c r="I223" s="18">
        <f>31.72+3213.65</f>
        <v>3245.37</v>
      </c>
      <c r="J223" s="18">
        <v>3130.31</v>
      </c>
      <c r="K223" s="18">
        <v>5209.28</v>
      </c>
      <c r="L223" s="19">
        <f t="shared" si="2"/>
        <v>260545.78</v>
      </c>
      <c r="M223" s="8"/>
      <c r="N223" s="266"/>
    </row>
    <row r="224" spans="1:14" s="3" customFormat="1" ht="12.2" customHeight="1" x14ac:dyDescent="0.15">
      <c r="A224" s="1" t="s">
        <v>445</v>
      </c>
      <c r="B224" s="2" t="s">
        <v>346</v>
      </c>
      <c r="C224" s="2" t="s">
        <v>297</v>
      </c>
      <c r="D224" s="2" t="s">
        <v>431</v>
      </c>
      <c r="E224" s="6">
        <v>2400</v>
      </c>
      <c r="F224" s="18">
        <f>1206+465548.08+83429.28</f>
        <v>550183.36</v>
      </c>
      <c r="G224" s="18">
        <f>92.26+289492.11</f>
        <v>289584.37</v>
      </c>
      <c r="H224" s="18">
        <v>1956.77</v>
      </c>
      <c r="I224" s="18">
        <f>1294.91+2245.3</f>
        <v>3540.21</v>
      </c>
      <c r="J224" s="18"/>
      <c r="K224" s="18">
        <v>239</v>
      </c>
      <c r="L224" s="19">
        <f t="shared" si="2"/>
        <v>845503.71</v>
      </c>
      <c r="M224" s="8"/>
      <c r="N224" s="266"/>
    </row>
    <row r="225" spans="1:14" s="3" customFormat="1" ht="12.2" customHeight="1" x14ac:dyDescent="0.15">
      <c r="A225" s="1" t="s">
        <v>446</v>
      </c>
      <c r="B225" s="2" t="s">
        <v>346</v>
      </c>
      <c r="C225" s="2" t="s">
        <v>298</v>
      </c>
      <c r="D225" s="2" t="s">
        <v>431</v>
      </c>
      <c r="E225" s="6">
        <v>2500</v>
      </c>
      <c r="F225" s="18">
        <f>784.99+43326.16</f>
        <v>44111.15</v>
      </c>
      <c r="G225" s="18">
        <f>60.05+87.68+22847.18</f>
        <v>22994.91</v>
      </c>
      <c r="H225" s="18">
        <f>46802.81+357.13</f>
        <v>47159.939999999995</v>
      </c>
      <c r="I225" s="18"/>
      <c r="J225" s="18"/>
      <c r="K225" s="18">
        <v>572.05999999999995</v>
      </c>
      <c r="L225" s="19">
        <f t="shared" si="2"/>
        <v>114838.06</v>
      </c>
      <c r="M225" s="8"/>
      <c r="N225" s="266"/>
    </row>
    <row r="226" spans="1:14" s="3" customFormat="1" ht="12.2" customHeight="1" x14ac:dyDescent="0.15">
      <c r="A226" s="1" t="s">
        <v>447</v>
      </c>
      <c r="B226" s="2" t="s">
        <v>346</v>
      </c>
      <c r="C226" s="2" t="s">
        <v>299</v>
      </c>
      <c r="D226" s="2" t="s">
        <v>431</v>
      </c>
      <c r="E226" s="6">
        <v>2600</v>
      </c>
      <c r="F226" s="18">
        <f>1459.08+4198.4+171581.2+83179.35</f>
        <v>260418.03000000003</v>
      </c>
      <c r="G226" s="18">
        <f>432.8+468.96+141.4+134342.82</f>
        <v>135385.98000000001</v>
      </c>
      <c r="H226" s="18">
        <f>4044.05+21007.7+101831.03+40838.47+6784.29+1032.29</f>
        <v>175537.83000000002</v>
      </c>
      <c r="I226" s="18">
        <f>688.92+50198.19</f>
        <v>50887.11</v>
      </c>
      <c r="J226" s="18">
        <v>4825.1899999999996</v>
      </c>
      <c r="K226" s="18">
        <v>208.5</v>
      </c>
      <c r="L226" s="19">
        <f t="shared" si="2"/>
        <v>627262.64</v>
      </c>
      <c r="M226" s="8"/>
      <c r="N226" s="266"/>
    </row>
    <row r="227" spans="1:14" s="3" customFormat="1" ht="12.2" customHeight="1" x14ac:dyDescent="0.15">
      <c r="A227" s="1" t="s">
        <v>448</v>
      </c>
      <c r="B227" s="2" t="s">
        <v>346</v>
      </c>
      <c r="C227" s="2" t="s">
        <v>300</v>
      </c>
      <c r="D227" s="2" t="s">
        <v>431</v>
      </c>
      <c r="E227" s="6">
        <v>2700</v>
      </c>
      <c r="F227" s="18">
        <v>11956.87</v>
      </c>
      <c r="G227" s="18">
        <v>6305.22</v>
      </c>
      <c r="H227" s="18">
        <f>4500+16566.5+423075.92</f>
        <v>444142.42</v>
      </c>
      <c r="I227" s="18" t="s">
        <v>286</v>
      </c>
      <c r="J227" s="18" t="s">
        <v>286</v>
      </c>
      <c r="K227" s="18"/>
      <c r="L227" s="19">
        <f t="shared" si="2"/>
        <v>462404.51</v>
      </c>
      <c r="M227" s="8"/>
      <c r="N227" s="266"/>
    </row>
    <row r="228" spans="1:14" s="3" customFormat="1" ht="12.2" customHeight="1" x14ac:dyDescent="0.15">
      <c r="A228" s="1" t="s">
        <v>449</v>
      </c>
      <c r="B228" s="2" t="s">
        <v>346</v>
      </c>
      <c r="C228" s="2" t="s">
        <v>343</v>
      </c>
      <c r="D228" s="2" t="s">
        <v>431</v>
      </c>
      <c r="E228" s="6">
        <v>2800</v>
      </c>
      <c r="F228" s="18"/>
      <c r="G228" s="18"/>
      <c r="H228" s="18">
        <f>12774.21+5529.7</f>
        <v>18303.91</v>
      </c>
      <c r="I228" s="18"/>
      <c r="J228" s="18" t="s">
        <v>286</v>
      </c>
      <c r="K228" s="18"/>
      <c r="L228" s="19">
        <f>SUM(F228:K228)</f>
        <v>18303.91</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6347020.4600000009</v>
      </c>
      <c r="G230" s="41">
        <f>SUM(G216:G229)</f>
        <v>3268524.4300000006</v>
      </c>
      <c r="H230" s="41">
        <f>SUM(H216:H229)</f>
        <v>1028612.5200000001</v>
      </c>
      <c r="I230" s="41">
        <f>SUM(I216:I229)</f>
        <v>171929.41</v>
      </c>
      <c r="J230" s="41">
        <f>SUM(J216:J229)</f>
        <v>50051.12</v>
      </c>
      <c r="K230" s="41">
        <f t="shared" si="3"/>
        <v>15684.769999999999</v>
      </c>
      <c r="L230" s="41">
        <f t="shared" si="3"/>
        <v>10881822.710000001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15222.08+575281.98+5714813.55+337718.33</f>
        <v>6643035.9399999995</v>
      </c>
      <c r="G234" s="18">
        <f>45173.56+1511.67+102.49+3164.9+102400.19+3191680.3</f>
        <v>3344033.11</v>
      </c>
      <c r="H234" s="18">
        <f>23562.08+35141.38</f>
        <v>58703.46</v>
      </c>
      <c r="I234" s="18">
        <f>5152.82-1+171242.42+2175.77</f>
        <v>178570.01</v>
      </c>
      <c r="J234" s="18">
        <f>5988+34213.83</f>
        <v>40201.83</v>
      </c>
      <c r="K234" s="18">
        <f>140+36223.64</f>
        <v>36363.64</v>
      </c>
      <c r="L234" s="19">
        <f>SUM(F234:K234)</f>
        <v>10300907.99</v>
      </c>
      <c r="M234" s="8"/>
      <c r="N234" s="266"/>
    </row>
    <row r="235" spans="1:14" s="3" customFormat="1" ht="12.2" customHeight="1" x14ac:dyDescent="0.15">
      <c r="A235" s="1" t="s">
        <v>439</v>
      </c>
      <c r="B235" s="2" t="s">
        <v>350</v>
      </c>
      <c r="C235" s="2" t="s">
        <v>291</v>
      </c>
      <c r="D235" s="2" t="s">
        <v>431</v>
      </c>
      <c r="E235" s="6">
        <v>1200</v>
      </c>
      <c r="F235" s="18">
        <f>7521.21+79537.23+1696349.43+115926.08</f>
        <v>1899333.95</v>
      </c>
      <c r="G235" s="18">
        <f>6659.97+1338.78+14157.63+955666.84</f>
        <v>977823.22</v>
      </c>
      <c r="H235" s="18">
        <f>65+51429.83+1428774.36</f>
        <v>1480269.1900000002</v>
      </c>
      <c r="I235" s="18">
        <f>7394.87+1601.25</f>
        <v>8996.119999999999</v>
      </c>
      <c r="J235" s="18"/>
      <c r="K235" s="18">
        <v>2140.3000000000002</v>
      </c>
      <c r="L235" s="19">
        <f>SUM(F235:K235)</f>
        <v>4368562.78</v>
      </c>
      <c r="M235" s="8"/>
      <c r="N235" s="266"/>
    </row>
    <row r="236" spans="1:14" s="3" customFormat="1" ht="12.2" customHeight="1" x14ac:dyDescent="0.15">
      <c r="A236" s="1" t="s">
        <v>440</v>
      </c>
      <c r="B236" s="2" t="s">
        <v>350</v>
      </c>
      <c r="C236" s="2" t="s">
        <v>292</v>
      </c>
      <c r="D236" s="2" t="s">
        <v>431</v>
      </c>
      <c r="E236" s="6">
        <v>1300</v>
      </c>
      <c r="F236" s="18">
        <v>0</v>
      </c>
      <c r="G236" s="18"/>
      <c r="H236" s="18">
        <f>36913.8+44132.88</f>
        <v>81046.679999999993</v>
      </c>
      <c r="I236" s="18"/>
      <c r="J236" s="18"/>
      <c r="K236" s="18"/>
      <c r="L236" s="19">
        <f>SUM(F236:K236)</f>
        <v>81046.679999999993</v>
      </c>
      <c r="M236" s="8"/>
      <c r="N236" s="266"/>
    </row>
    <row r="237" spans="1:14" s="3" customFormat="1" ht="12.2" customHeight="1" x14ac:dyDescent="0.15">
      <c r="A237" s="1" t="s">
        <v>441</v>
      </c>
      <c r="B237" s="2" t="s">
        <v>350</v>
      </c>
      <c r="C237" s="2" t="s">
        <v>293</v>
      </c>
      <c r="D237" s="2" t="s">
        <v>431</v>
      </c>
      <c r="E237" s="6">
        <v>1400</v>
      </c>
      <c r="F237" s="18">
        <f>514033.98+1511.66</f>
        <v>515545.63999999996</v>
      </c>
      <c r="G237" s="18">
        <v>271862.57</v>
      </c>
      <c r="H237" s="18">
        <f>580+661.75+2621.75+155923.43+73899.85</f>
        <v>233686.78</v>
      </c>
      <c r="I237" s="18">
        <f>696.99+43796.61</f>
        <v>44493.599999999999</v>
      </c>
      <c r="J237" s="18">
        <v>11547.59</v>
      </c>
      <c r="K237" s="18">
        <v>39388.769999999997</v>
      </c>
      <c r="L237" s="19">
        <f>SUM(F237:K237)</f>
        <v>1116524.9500000002</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60774.08+574576.23</f>
        <v>635350.30999999994</v>
      </c>
      <c r="G239" s="18">
        <f>4649.22+10817.79+302991.16</f>
        <v>318458.17</v>
      </c>
      <c r="H239" s="18">
        <f>162522.77+33460.08</f>
        <v>195982.84999999998</v>
      </c>
      <c r="I239" s="18">
        <f>1346.25+12629.14+3264.94</f>
        <v>17240.329999999998</v>
      </c>
      <c r="J239" s="18"/>
      <c r="K239" s="18"/>
      <c r="L239" s="19">
        <f t="shared" ref="L239:L245" si="4">SUM(F239:K239)</f>
        <v>1167031.6600000001</v>
      </c>
      <c r="M239" s="8"/>
      <c r="N239" s="266"/>
    </row>
    <row r="240" spans="1:14" s="3" customFormat="1" ht="12.2" customHeight="1" x14ac:dyDescent="0.15">
      <c r="A240" s="1" t="s">
        <v>443</v>
      </c>
      <c r="B240" s="2" t="s">
        <v>350</v>
      </c>
      <c r="C240" s="2" t="s">
        <v>295</v>
      </c>
      <c r="D240" s="2" t="s">
        <v>431</v>
      </c>
      <c r="E240" s="6">
        <v>2200</v>
      </c>
      <c r="F240" s="18">
        <f>10246.12+202387.67</f>
        <v>212633.79</v>
      </c>
      <c r="G240" s="18">
        <f>783.83+1823.81+67462.42+106725.04</f>
        <v>176795.09999999998</v>
      </c>
      <c r="H240" s="18">
        <f>529+8519.84+11562.45+73.95</f>
        <v>20685.240000000002</v>
      </c>
      <c r="I240" s="18">
        <f>36196.5+5609.36</f>
        <v>41805.86</v>
      </c>
      <c r="J240" s="18">
        <f>3017.41+73875.08</f>
        <v>76892.490000000005</v>
      </c>
      <c r="K240" s="18">
        <v>13041.55</v>
      </c>
      <c r="L240" s="19">
        <f t="shared" si="4"/>
        <v>541854.03</v>
      </c>
      <c r="M240" s="8"/>
      <c r="N240" s="266"/>
    </row>
    <row r="241" spans="1:14" s="3" customFormat="1" ht="12.2" customHeight="1" x14ac:dyDescent="0.15">
      <c r="A241" s="1" t="s">
        <v>444</v>
      </c>
      <c r="B241" s="2" t="s">
        <v>350</v>
      </c>
      <c r="C241" s="2" t="s">
        <v>296</v>
      </c>
      <c r="D241" s="2" t="s">
        <v>431</v>
      </c>
      <c r="E241" s="6">
        <v>2300</v>
      </c>
      <c r="F241" s="18">
        <f>2936.38+296108.51</f>
        <v>299044.89</v>
      </c>
      <c r="G241" s="18">
        <f>224.63+327.99+156146.83</f>
        <v>156699.44999999998</v>
      </c>
      <c r="H241" s="18">
        <f>33618.91+1829.58+6728.79</f>
        <v>42177.280000000006</v>
      </c>
      <c r="I241" s="18">
        <f>63.44+6427.3</f>
        <v>6490.74</v>
      </c>
      <c r="J241" s="18">
        <v>6260.61</v>
      </c>
      <c r="K241" s="18">
        <v>10418.549999999999</v>
      </c>
      <c r="L241" s="19">
        <f t="shared" si="4"/>
        <v>521091.51999999996</v>
      </c>
      <c r="M241" s="8"/>
      <c r="N241" s="266"/>
    </row>
    <row r="242" spans="1:14" s="3" customFormat="1" ht="12.2" customHeight="1" x14ac:dyDescent="0.15">
      <c r="A242" s="1" t="s">
        <v>445</v>
      </c>
      <c r="B242" s="2" t="s">
        <v>350</v>
      </c>
      <c r="C242" s="2" t="s">
        <v>297</v>
      </c>
      <c r="D242" s="2" t="s">
        <v>431</v>
      </c>
      <c r="E242" s="6">
        <v>2400</v>
      </c>
      <c r="F242" s="18">
        <f>6516.4+1099834.66+166858.56</f>
        <v>1273209.6199999999</v>
      </c>
      <c r="G242" s="18">
        <f>498.5+727.88+667965.06</f>
        <v>669191.44000000006</v>
      </c>
      <c r="H242" s="18">
        <f>1935.64+15543</f>
        <v>17478.64</v>
      </c>
      <c r="I242" s="18">
        <f>4302.35+4490.59</f>
        <v>8792.94</v>
      </c>
      <c r="J242" s="18"/>
      <c r="K242" s="18">
        <f>13362.99+49471.12</f>
        <v>62834.11</v>
      </c>
      <c r="L242" s="19">
        <f t="shared" si="4"/>
        <v>2031506.75</v>
      </c>
      <c r="M242" s="8"/>
      <c r="N242" s="266"/>
    </row>
    <row r="243" spans="1:14" s="3" customFormat="1" ht="12.2" customHeight="1" x14ac:dyDescent="0.15">
      <c r="A243" s="1" t="s">
        <v>446</v>
      </c>
      <c r="B243" s="2" t="s">
        <v>350</v>
      </c>
      <c r="C243" s="2" t="s">
        <v>298</v>
      </c>
      <c r="D243" s="2" t="s">
        <v>431</v>
      </c>
      <c r="E243" s="6">
        <v>2500</v>
      </c>
      <c r="F243" s="18">
        <f>1569.98+86652.33</f>
        <v>88222.31</v>
      </c>
      <c r="G243" s="18">
        <f>120.1+175.37+45694.35</f>
        <v>45989.82</v>
      </c>
      <c r="H243" s="18">
        <f>93605.62+714.27</f>
        <v>94319.89</v>
      </c>
      <c r="I243" s="18"/>
      <c r="J243" s="18"/>
      <c r="K243" s="18">
        <v>1441.13</v>
      </c>
      <c r="L243" s="19">
        <f t="shared" si="4"/>
        <v>229973.15000000002</v>
      </c>
      <c r="M243" s="8"/>
      <c r="N243" s="266"/>
    </row>
    <row r="244" spans="1:14" s="3" customFormat="1" ht="12.2" customHeight="1" x14ac:dyDescent="0.15">
      <c r="A244" s="1" t="s">
        <v>447</v>
      </c>
      <c r="B244" s="2" t="s">
        <v>350</v>
      </c>
      <c r="C244" s="2" t="s">
        <v>299</v>
      </c>
      <c r="D244" s="2" t="s">
        <v>431</v>
      </c>
      <c r="E244" s="6">
        <v>2600</v>
      </c>
      <c r="F244" s="18">
        <f>2918.15+7119.36+250737.08+166358.7</f>
        <v>427133.29000000004</v>
      </c>
      <c r="G244" s="18">
        <f>767.87+707.98+282.8+219947.02</f>
        <v>221705.66999999998</v>
      </c>
      <c r="H244" s="18">
        <f>8088.09+42015.39+203662.05+81676.94+10176.44+1548.44</f>
        <v>347167.35</v>
      </c>
      <c r="I244" s="18">
        <f>1377.84+375593.77+100396.37</f>
        <v>477367.98000000004</v>
      </c>
      <c r="J244" s="18">
        <v>9650.3799999999992</v>
      </c>
      <c r="K244" s="18">
        <v>416.99</v>
      </c>
      <c r="L244" s="19">
        <f t="shared" si="4"/>
        <v>1483441.66</v>
      </c>
      <c r="M244" s="8"/>
      <c r="N244" s="266"/>
    </row>
    <row r="245" spans="1:14" s="3" customFormat="1" ht="12.2" customHeight="1" x14ac:dyDescent="0.15">
      <c r="A245" s="1" t="s">
        <v>448</v>
      </c>
      <c r="B245" s="2" t="s">
        <v>350</v>
      </c>
      <c r="C245" s="2" t="s">
        <v>300</v>
      </c>
      <c r="D245" s="2" t="s">
        <v>431</v>
      </c>
      <c r="E245" s="6">
        <v>2700</v>
      </c>
      <c r="F245" s="18">
        <v>23913.75</v>
      </c>
      <c r="G245" s="18">
        <v>12610.43</v>
      </c>
      <c r="H245" s="18">
        <f>92341.94+846151.84</f>
        <v>938493.78</v>
      </c>
      <c r="I245" s="18" t="s">
        <v>286</v>
      </c>
      <c r="J245" s="18" t="s">
        <v>286</v>
      </c>
      <c r="K245" s="18"/>
      <c r="L245" s="19">
        <f t="shared" si="4"/>
        <v>975017.96000000008</v>
      </c>
      <c r="M245" s="8"/>
      <c r="N245" s="266"/>
    </row>
    <row r="246" spans="1:14" s="3" customFormat="1" ht="12.2" customHeight="1" x14ac:dyDescent="0.15">
      <c r="A246" s="1" t="s">
        <v>449</v>
      </c>
      <c r="B246" s="2" t="s">
        <v>350</v>
      </c>
      <c r="C246" s="2" t="s">
        <v>343</v>
      </c>
      <c r="D246" s="2" t="s">
        <v>431</v>
      </c>
      <c r="E246" s="6">
        <v>2800</v>
      </c>
      <c r="F246" s="18"/>
      <c r="G246" s="18"/>
      <c r="H246" s="18">
        <f>25548.42+11059.41</f>
        <v>36607.83</v>
      </c>
      <c r="I246" s="18"/>
      <c r="J246" s="18" t="s">
        <v>286</v>
      </c>
      <c r="K246" s="18"/>
      <c r="L246" s="19">
        <f>SUM(F246:K246)</f>
        <v>36607.83</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12017423.489999998</v>
      </c>
      <c r="G248" s="41">
        <f t="shared" si="5"/>
        <v>6195168.9800000004</v>
      </c>
      <c r="H248" s="41">
        <f t="shared" si="5"/>
        <v>3546618.9700000007</v>
      </c>
      <c r="I248" s="41">
        <f t="shared" si="5"/>
        <v>783757.58000000007</v>
      </c>
      <c r="J248" s="41">
        <f t="shared" si="5"/>
        <v>144552.9</v>
      </c>
      <c r="K248" s="41">
        <f t="shared" si="5"/>
        <v>166045.03999999998</v>
      </c>
      <c r="L248" s="41">
        <f t="shared" si="5"/>
        <v>22853566.959999997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f>15049.33+245</f>
        <v>15294.33</v>
      </c>
      <c r="G252" s="18">
        <v>8302.69</v>
      </c>
      <c r="H252" s="18"/>
      <c r="I252" s="18">
        <v>450.45</v>
      </c>
      <c r="J252" s="18"/>
      <c r="K252" s="18"/>
      <c r="L252" s="19">
        <f t="shared" si="6"/>
        <v>24047.47</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15294.33</v>
      </c>
      <c r="G257" s="41">
        <f t="shared" si="7"/>
        <v>8302.69</v>
      </c>
      <c r="H257" s="41">
        <f t="shared" si="7"/>
        <v>0</v>
      </c>
      <c r="I257" s="41">
        <f t="shared" si="7"/>
        <v>450.45</v>
      </c>
      <c r="J257" s="41">
        <f t="shared" si="7"/>
        <v>0</v>
      </c>
      <c r="K257" s="41">
        <f t="shared" si="7"/>
        <v>0</v>
      </c>
      <c r="L257" s="41">
        <f>SUM(F257:K257)</f>
        <v>24047.47</v>
      </c>
      <c r="M257" s="8"/>
      <c r="N257" s="266"/>
    </row>
    <row r="258" spans="1:14" s="3" customFormat="1" ht="12.2" customHeight="1" thickTop="1" x14ac:dyDescent="0.15">
      <c r="A258" s="38" t="s">
        <v>462</v>
      </c>
      <c r="B258" s="40">
        <v>10</v>
      </c>
      <c r="C258" s="40">
        <v>8</v>
      </c>
      <c r="D258" s="39" t="s">
        <v>431</v>
      </c>
      <c r="E258" s="40"/>
      <c r="F258" s="41">
        <f t="shared" ref="F258:L258" si="8">F212+F230+F248+F257</f>
        <v>36102390.829999998</v>
      </c>
      <c r="G258" s="41">
        <f t="shared" si="8"/>
        <v>18644429.180000003</v>
      </c>
      <c r="H258" s="41">
        <f t="shared" si="8"/>
        <v>7654928.4600000009</v>
      </c>
      <c r="I258" s="41">
        <f t="shared" si="8"/>
        <v>1901358.27</v>
      </c>
      <c r="J258" s="41">
        <f t="shared" si="8"/>
        <v>344190.06</v>
      </c>
      <c r="K258" s="41">
        <f t="shared" si="8"/>
        <v>228915.93999999997</v>
      </c>
      <c r="L258" s="41">
        <f t="shared" si="8"/>
        <v>64876212.739999995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1750000</v>
      </c>
      <c r="L261" s="19">
        <f>SUM(F261:K261)</f>
        <v>1750000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1130020</v>
      </c>
      <c r="L262" s="19">
        <f>SUM(F262:K262)</f>
        <v>1130020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6660</v>
      </c>
      <c r="L269" s="19">
        <f t="shared" si="9"/>
        <v>6660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2886680</v>
      </c>
      <c r="L271" s="41">
        <f t="shared" si="9"/>
        <v>2886680</v>
      </c>
      <c r="M271" s="8"/>
      <c r="N271" s="266"/>
    </row>
    <row r="272" spans="1:14" s="34" customFormat="1" ht="12.2" customHeight="1" thickTop="1" x14ac:dyDescent="0.2">
      <c r="A272" s="43" t="s">
        <v>464</v>
      </c>
      <c r="B272" s="40">
        <v>10</v>
      </c>
      <c r="C272" s="40">
        <v>18</v>
      </c>
      <c r="D272" s="39" t="s">
        <v>431</v>
      </c>
      <c r="E272" s="40"/>
      <c r="F272" s="42">
        <f t="shared" ref="F272:L272" si="11">F258+F271</f>
        <v>36102390.829999998</v>
      </c>
      <c r="G272" s="42">
        <f t="shared" si="11"/>
        <v>18644429.180000003</v>
      </c>
      <c r="H272" s="42">
        <f t="shared" si="11"/>
        <v>7654928.4600000009</v>
      </c>
      <c r="I272" s="42">
        <f t="shared" si="11"/>
        <v>1901358.27</v>
      </c>
      <c r="J272" s="42">
        <f t="shared" si="11"/>
        <v>344190.06</v>
      </c>
      <c r="K272" s="42">
        <f t="shared" si="11"/>
        <v>3115595.94</v>
      </c>
      <c r="L272" s="42">
        <f t="shared" si="11"/>
        <v>67762892.739999995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106320</v>
      </c>
      <c r="G277" s="18">
        <v>8130.98</v>
      </c>
      <c r="H277" s="18">
        <v>1785</v>
      </c>
      <c r="I277" s="18">
        <v>1909.53</v>
      </c>
      <c r="J277" s="18">
        <v>10108.32</v>
      </c>
      <c r="K277" s="18"/>
      <c r="L277" s="19">
        <f>SUM(F277:K277)</f>
        <v>128253.82999999999</v>
      </c>
      <c r="M277" s="8"/>
      <c r="N277" s="266"/>
    </row>
    <row r="278" spans="1:14" s="3" customFormat="1" ht="12.2" customHeight="1" x14ac:dyDescent="0.15">
      <c r="A278" s="1" t="s">
        <v>439</v>
      </c>
      <c r="B278" s="2" t="s">
        <v>357</v>
      </c>
      <c r="C278" s="2" t="s">
        <v>291</v>
      </c>
      <c r="D278" s="2" t="s">
        <v>431</v>
      </c>
      <c r="E278" s="6">
        <v>1200</v>
      </c>
      <c r="F278" s="18">
        <f>19288.68+244481.09-36672.16+28028.47-4204.27-0.45</f>
        <v>250921.36000000002</v>
      </c>
      <c r="G278" s="18"/>
      <c r="H278" s="18">
        <v>5488</v>
      </c>
      <c r="I278" s="18"/>
      <c r="J278" s="18">
        <v>4580.5200000000004</v>
      </c>
      <c r="K278" s="18"/>
      <c r="L278" s="19">
        <f>SUM(F278:K278)</f>
        <v>260989.88</v>
      </c>
      <c r="M278" s="8"/>
      <c r="N278" s="266"/>
    </row>
    <row r="279" spans="1:14" s="3" customFormat="1" ht="12.2" customHeight="1" x14ac:dyDescent="0.15">
      <c r="A279" s="1" t="s">
        <v>440</v>
      </c>
      <c r="B279" s="2" t="s">
        <v>357</v>
      </c>
      <c r="C279" s="2" t="s">
        <v>292</v>
      </c>
      <c r="D279" s="2" t="s">
        <v>431</v>
      </c>
      <c r="E279" s="6">
        <v>1300</v>
      </c>
      <c r="F279" s="18">
        <v>0</v>
      </c>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0</v>
      </c>
      <c r="G280" s="18"/>
      <c r="H280" s="18"/>
      <c r="I280" s="18"/>
      <c r="J280" s="18"/>
      <c r="K280" s="18">
        <v>398</v>
      </c>
      <c r="L280" s="19">
        <f>SUM(F280:K280)</f>
        <v>398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91325.35+36672.16+4204.27</f>
        <v>132201.78</v>
      </c>
      <c r="G282" s="18"/>
      <c r="H282" s="18">
        <v>8426.1200000000008</v>
      </c>
      <c r="I282" s="18"/>
      <c r="J282" s="18"/>
      <c r="K282" s="18"/>
      <c r="L282" s="19">
        <f t="shared" ref="L282:L288" si="12">SUM(F282:K282)</f>
        <v>140627.9</v>
      </c>
      <c r="M282" s="8"/>
      <c r="N282" s="266"/>
    </row>
    <row r="283" spans="1:14" s="3" customFormat="1" ht="12.2" customHeight="1" x14ac:dyDescent="0.15">
      <c r="A283" s="1" t="s">
        <v>443</v>
      </c>
      <c r="B283" s="2" t="s">
        <v>357</v>
      </c>
      <c r="C283" s="2" t="s">
        <v>295</v>
      </c>
      <c r="D283" s="2" t="s">
        <v>431</v>
      </c>
      <c r="E283" s="6">
        <v>2200</v>
      </c>
      <c r="F283" s="18">
        <f>33896.91+7009.73</f>
        <v>40906.639999999999</v>
      </c>
      <c r="G283" s="18"/>
      <c r="H283" s="18">
        <f>16459.08+3293.42</f>
        <v>19752.5</v>
      </c>
      <c r="I283" s="18">
        <v>1281.32</v>
      </c>
      <c r="J283" s="18" t="s">
        <v>286</v>
      </c>
      <c r="K283" s="18"/>
      <c r="L283" s="19">
        <f t="shared" si="12"/>
        <v>61940.46</v>
      </c>
      <c r="M283" s="8"/>
      <c r="N283" s="266"/>
    </row>
    <row r="284" spans="1:14" s="3" customFormat="1" ht="12.2" customHeight="1" x14ac:dyDescent="0.15">
      <c r="A284" s="1" t="s">
        <v>444</v>
      </c>
      <c r="B284" s="2" t="s">
        <v>357</v>
      </c>
      <c r="C284" s="2" t="s">
        <v>296</v>
      </c>
      <c r="D284" s="2" t="s">
        <v>431</v>
      </c>
      <c r="E284" s="6">
        <v>2300</v>
      </c>
      <c r="F284" s="18">
        <v>11698.87</v>
      </c>
      <c r="G284" s="18">
        <f>872.9</f>
        <v>872.9</v>
      </c>
      <c r="H284" s="18">
        <v>735</v>
      </c>
      <c r="I284" s="18">
        <v>122.52</v>
      </c>
      <c r="J284" s="18"/>
      <c r="K284" s="18"/>
      <c r="L284" s="19">
        <f t="shared" si="12"/>
        <v>13429.29</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v>10336.33</v>
      </c>
      <c r="K287" s="18"/>
      <c r="L287" s="19">
        <f t="shared" si="12"/>
        <v>10336.33</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542048.65</v>
      </c>
      <c r="G291" s="42">
        <f t="shared" si="13"/>
        <v>9003.8799999999992</v>
      </c>
      <c r="H291" s="42">
        <f t="shared" si="13"/>
        <v>36186.620000000003</v>
      </c>
      <c r="I291" s="42">
        <f t="shared" si="13"/>
        <v>3313.37</v>
      </c>
      <c r="J291" s="42">
        <f t="shared" si="13"/>
        <v>25025.17</v>
      </c>
      <c r="K291" s="42">
        <f t="shared" si="13"/>
        <v>398</v>
      </c>
      <c r="L291" s="41">
        <f t="shared" si="13"/>
        <v>615975.68999999994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c r="H296" s="18"/>
      <c r="I296" s="18">
        <v>204.19</v>
      </c>
      <c r="J296" s="18"/>
      <c r="K296" s="18"/>
      <c r="L296" s="19">
        <f>SUM(F296:K296)</f>
        <v>204.19</v>
      </c>
      <c r="M296" s="8"/>
      <c r="N296" s="266"/>
    </row>
    <row r="297" spans="1:14" s="3" customFormat="1" ht="12.2" customHeight="1" x14ac:dyDescent="0.15">
      <c r="A297" s="1" t="s">
        <v>439</v>
      </c>
      <c r="B297" s="2" t="s">
        <v>358</v>
      </c>
      <c r="C297" s="2" t="s">
        <v>291</v>
      </c>
      <c r="D297" s="2" t="s">
        <v>431</v>
      </c>
      <c r="E297" s="6">
        <v>1200</v>
      </c>
      <c r="F297" s="18">
        <f>6691.99+84819.97-12723+9724.16-1458.62</f>
        <v>87054.500000000015</v>
      </c>
      <c r="G297" s="18"/>
      <c r="H297" s="18">
        <v>1904</v>
      </c>
      <c r="I297" s="18"/>
      <c r="J297" s="18">
        <v>1589.16</v>
      </c>
      <c r="K297" s="18"/>
      <c r="L297" s="19">
        <f>SUM(F297:K297)</f>
        <v>90547.660000000018</v>
      </c>
      <c r="M297" s="8"/>
      <c r="N297" s="266"/>
    </row>
    <row r="298" spans="1:14" s="3" customFormat="1" ht="12.2" customHeight="1" x14ac:dyDescent="0.15">
      <c r="A298" s="1" t="s">
        <v>440</v>
      </c>
      <c r="B298" s="2" t="s">
        <v>358</v>
      </c>
      <c r="C298" s="2" t="s">
        <v>292</v>
      </c>
      <c r="D298" s="2" t="s">
        <v>431</v>
      </c>
      <c r="E298" s="6">
        <v>1300</v>
      </c>
      <c r="F298" s="18">
        <v>0</v>
      </c>
      <c r="G298" s="18"/>
      <c r="H298" s="18" t="s">
        <v>286</v>
      </c>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0</v>
      </c>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31684.31+0.16+12723+1458.62</f>
        <v>45866.090000000004</v>
      </c>
      <c r="G301" s="18"/>
      <c r="H301" s="18">
        <v>2912.94</v>
      </c>
      <c r="I301" s="18"/>
      <c r="J301" s="18"/>
      <c r="K301" s="18"/>
      <c r="L301" s="19">
        <f t="shared" ref="L301:L307" si="14">SUM(F301:K301)</f>
        <v>48779.030000000006</v>
      </c>
      <c r="M301" s="8"/>
      <c r="N301" s="266"/>
    </row>
    <row r="302" spans="1:14" s="3" customFormat="1" ht="12.2" customHeight="1" x14ac:dyDescent="0.15">
      <c r="A302" s="1" t="s">
        <v>443</v>
      </c>
      <c r="B302" s="2" t="s">
        <v>358</v>
      </c>
      <c r="C302" s="2" t="s">
        <v>295</v>
      </c>
      <c r="D302" s="2" t="s">
        <v>431</v>
      </c>
      <c r="E302" s="6">
        <v>2200</v>
      </c>
      <c r="F302" s="18">
        <f>1076.46+2431.95</f>
        <v>3508.41</v>
      </c>
      <c r="G302" s="18"/>
      <c r="H302" s="18">
        <f>9710.29+1142.61</f>
        <v>10852.900000000001</v>
      </c>
      <c r="I302" s="18">
        <v>444.53</v>
      </c>
      <c r="J302" s="18"/>
      <c r="K302" s="18"/>
      <c r="L302" s="19">
        <f t="shared" si="14"/>
        <v>14805.840000000002</v>
      </c>
      <c r="M302" s="8"/>
      <c r="N302" s="266"/>
    </row>
    <row r="303" spans="1:14" s="3" customFormat="1" ht="12.2" customHeight="1" x14ac:dyDescent="0.15">
      <c r="A303" s="1" t="s">
        <v>444</v>
      </c>
      <c r="B303" s="2" t="s">
        <v>358</v>
      </c>
      <c r="C303" s="2" t="s">
        <v>296</v>
      </c>
      <c r="D303" s="2" t="s">
        <v>431</v>
      </c>
      <c r="E303" s="6">
        <v>2300</v>
      </c>
      <c r="F303" s="18"/>
      <c r="G303" s="18"/>
      <c r="H303" s="18">
        <v>255</v>
      </c>
      <c r="I303" s="18">
        <v>42.51</v>
      </c>
      <c r="J303" s="18"/>
      <c r="K303" s="18"/>
      <c r="L303" s="19">
        <f t="shared" si="14"/>
        <v>297.51</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v>3062</v>
      </c>
      <c r="K306" s="18"/>
      <c r="L306" s="19">
        <f t="shared" si="14"/>
        <v>3062</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136429.00000000003</v>
      </c>
      <c r="G310" s="42">
        <f t="shared" si="15"/>
        <v>0</v>
      </c>
      <c r="H310" s="42">
        <f t="shared" si="15"/>
        <v>15924.840000000002</v>
      </c>
      <c r="I310" s="42">
        <f t="shared" si="15"/>
        <v>691.23</v>
      </c>
      <c r="J310" s="42">
        <f t="shared" si="15"/>
        <v>4651.16</v>
      </c>
      <c r="K310" s="42">
        <f t="shared" si="15"/>
        <v>0</v>
      </c>
      <c r="L310" s="41">
        <f t="shared" si="15"/>
        <v>157696.23000000004</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c r="H315" s="18"/>
      <c r="I315" s="18">
        <v>408.38</v>
      </c>
      <c r="J315" s="18">
        <v>21923.200000000001</v>
      </c>
      <c r="K315" s="18"/>
      <c r="L315" s="19">
        <f>SUM(F315:K315)</f>
        <v>22331.58</v>
      </c>
      <c r="M315" s="8"/>
      <c r="N315" s="266"/>
    </row>
    <row r="316" spans="1:14" s="3" customFormat="1" ht="12.2" customHeight="1" x14ac:dyDescent="0.15">
      <c r="A316" s="1" t="s">
        <v>439</v>
      </c>
      <c r="B316" s="2" t="s">
        <v>359</v>
      </c>
      <c r="C316" s="2" t="s">
        <v>291</v>
      </c>
      <c r="D316" s="2" t="s">
        <v>431</v>
      </c>
      <c r="E316" s="6">
        <v>1200</v>
      </c>
      <c r="F316" s="18">
        <f>13383.98+169639.94+19448.32-25445.99-2917.25-0.22</f>
        <v>174108.78000000003</v>
      </c>
      <c r="G316" s="18"/>
      <c r="H316" s="18">
        <v>3808</v>
      </c>
      <c r="I316" s="18"/>
      <c r="J316" s="18">
        <v>3178.32</v>
      </c>
      <c r="K316" s="18"/>
      <c r="L316" s="19">
        <f>SUM(F316:K316)</f>
        <v>181095.10000000003</v>
      </c>
      <c r="M316" s="8"/>
      <c r="N316" s="266"/>
    </row>
    <row r="317" spans="1:14" s="3" customFormat="1" ht="12.2" customHeight="1" x14ac:dyDescent="0.15">
      <c r="A317" s="1" t="s">
        <v>440</v>
      </c>
      <c r="B317" s="2" t="s">
        <v>359</v>
      </c>
      <c r="C317" s="2" t="s">
        <v>292</v>
      </c>
      <c r="D317" s="2" t="s">
        <v>431</v>
      </c>
      <c r="E317" s="6">
        <v>1300</v>
      </c>
      <c r="F317" s="18">
        <v>0</v>
      </c>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0</v>
      </c>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63368.61+25445.99+2917.25</f>
        <v>91731.85</v>
      </c>
      <c r="G320" s="18"/>
      <c r="H320" s="18">
        <v>9325.8799999999992</v>
      </c>
      <c r="I320" s="18"/>
      <c r="J320" s="18"/>
      <c r="K320" s="18"/>
      <c r="L320" s="19">
        <f t="shared" ref="L320:L326" si="16">SUM(F320:K320)</f>
        <v>101057.73000000001</v>
      </c>
      <c r="M320" s="8"/>
      <c r="N320" s="266"/>
    </row>
    <row r="321" spans="1:14" s="3" customFormat="1" ht="12.2" customHeight="1" x14ac:dyDescent="0.15">
      <c r="A321" s="1" t="s">
        <v>443</v>
      </c>
      <c r="B321" s="2" t="s">
        <v>359</v>
      </c>
      <c r="C321" s="2" t="s">
        <v>295</v>
      </c>
      <c r="D321" s="2" t="s">
        <v>431</v>
      </c>
      <c r="E321" s="6">
        <v>2200</v>
      </c>
      <c r="F321" s="18">
        <f>13495.07+4863.9</f>
        <v>18358.97</v>
      </c>
      <c r="G321" s="18"/>
      <c r="H321" s="18">
        <f>22108.65</f>
        <v>22108.65</v>
      </c>
      <c r="I321" s="18">
        <v>4489.05</v>
      </c>
      <c r="J321" s="18">
        <v>1241.21</v>
      </c>
      <c r="K321" s="18">
        <v>4452.66</v>
      </c>
      <c r="L321" s="19">
        <f t="shared" si="16"/>
        <v>50650.540000000008</v>
      </c>
      <c r="M321" s="8"/>
      <c r="N321" s="266"/>
    </row>
    <row r="322" spans="1:14" s="3" customFormat="1" ht="12.2" customHeight="1" x14ac:dyDescent="0.15">
      <c r="A322" s="1" t="s">
        <v>444</v>
      </c>
      <c r="B322" s="2" t="s">
        <v>359</v>
      </c>
      <c r="C322" s="2" t="s">
        <v>296</v>
      </c>
      <c r="D322" s="2" t="s">
        <v>431</v>
      </c>
      <c r="E322" s="6">
        <v>2300</v>
      </c>
      <c r="F322" s="18"/>
      <c r="G322" s="18"/>
      <c r="H322" s="18">
        <f>510+6359.23</f>
        <v>6869.23</v>
      </c>
      <c r="I322" s="18">
        <v>85.01</v>
      </c>
      <c r="J322" s="18"/>
      <c r="K322" s="18"/>
      <c r="L322" s="19">
        <f t="shared" si="16"/>
        <v>6954.24</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284199.59999999998</v>
      </c>
      <c r="G329" s="42">
        <f t="shared" si="17"/>
        <v>0</v>
      </c>
      <c r="H329" s="42">
        <f t="shared" si="17"/>
        <v>42111.759999999995</v>
      </c>
      <c r="I329" s="42">
        <f t="shared" si="17"/>
        <v>4982.4400000000005</v>
      </c>
      <c r="J329" s="42">
        <f t="shared" si="17"/>
        <v>26342.73</v>
      </c>
      <c r="K329" s="42">
        <f t="shared" si="17"/>
        <v>4452.66</v>
      </c>
      <c r="L329" s="41">
        <f t="shared" si="17"/>
        <v>362089.19000000006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v>4200.87</v>
      </c>
      <c r="G334" s="18"/>
      <c r="H334" s="18"/>
      <c r="I334" s="18"/>
      <c r="J334" s="18"/>
      <c r="K334" s="18"/>
      <c r="L334" s="19">
        <f t="shared" si="18"/>
        <v>4200.87</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4200.87</v>
      </c>
      <c r="G338" s="41">
        <f t="shared" si="19"/>
        <v>0</v>
      </c>
      <c r="H338" s="41">
        <f t="shared" si="19"/>
        <v>0</v>
      </c>
      <c r="I338" s="41">
        <f t="shared" si="19"/>
        <v>0</v>
      </c>
      <c r="J338" s="41">
        <f t="shared" si="19"/>
        <v>0</v>
      </c>
      <c r="K338" s="41">
        <f t="shared" si="19"/>
        <v>0</v>
      </c>
      <c r="L338" s="41">
        <f t="shared" si="18"/>
        <v>4200.87</v>
      </c>
      <c r="M338" s="8"/>
      <c r="N338" s="266"/>
    </row>
    <row r="339" spans="1:43" s="3" customFormat="1" ht="12.2" customHeight="1" thickTop="1" x14ac:dyDescent="0.15">
      <c r="A339" s="38" t="s">
        <v>468</v>
      </c>
      <c r="B339" s="40">
        <v>14</v>
      </c>
      <c r="C339" s="40">
        <v>7</v>
      </c>
      <c r="D339" s="39" t="s">
        <v>431</v>
      </c>
      <c r="E339" s="40"/>
      <c r="F339" s="41">
        <f t="shared" ref="F339:L339" si="20">F291+F310+F329+F338</f>
        <v>966878.12</v>
      </c>
      <c r="G339" s="41">
        <f t="shared" si="20"/>
        <v>9003.8799999999992</v>
      </c>
      <c r="H339" s="41">
        <f t="shared" si="20"/>
        <v>94223.22</v>
      </c>
      <c r="I339" s="41">
        <f t="shared" si="20"/>
        <v>8987.0400000000009</v>
      </c>
      <c r="J339" s="41">
        <f t="shared" si="20"/>
        <v>56019.06</v>
      </c>
      <c r="K339" s="41">
        <f t="shared" si="20"/>
        <v>4850.66</v>
      </c>
      <c r="L339" s="41">
        <f t="shared" si="20"/>
        <v>1139961.98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966878.12</v>
      </c>
      <c r="G353" s="41">
        <f>G339</f>
        <v>9003.8799999999992</v>
      </c>
      <c r="H353" s="41">
        <f>H339</f>
        <v>94223.22</v>
      </c>
      <c r="I353" s="41">
        <f>I339</f>
        <v>8987.0400000000009</v>
      </c>
      <c r="J353" s="41">
        <f>J339</f>
        <v>56019.06</v>
      </c>
      <c r="K353" s="47">
        <f>K339+K352</f>
        <v>4850.66</v>
      </c>
      <c r="L353" s="41">
        <f>L339+L352</f>
        <v>1139961.98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78108.08+209366.14-0.01</f>
        <v>287474.21000000002</v>
      </c>
      <c r="G359" s="18">
        <f>55131.98</f>
        <v>55131.98</v>
      </c>
      <c r="H359" s="18">
        <f>4533.2+1772.52+17641.83</f>
        <v>23947.550000000003</v>
      </c>
      <c r="I359" s="18">
        <f>2341.54+312225.67</f>
        <v>314567.20999999996</v>
      </c>
      <c r="J359" s="18">
        <f>1586.2+1760.6</f>
        <v>3346.8</v>
      </c>
      <c r="K359" s="18">
        <f>2042.6</f>
        <v>2042.6</v>
      </c>
      <c r="L359" s="13">
        <f>SUM(F359:K359)</f>
        <v>686510.35</v>
      </c>
      <c r="M359" s="8"/>
      <c r="N359" s="266"/>
    </row>
    <row r="360" spans="1:22" s="3" customFormat="1" ht="12.2" customHeight="1" x14ac:dyDescent="0.15">
      <c r="A360" s="1" t="s">
        <v>542</v>
      </c>
      <c r="B360" s="2" t="s">
        <v>366</v>
      </c>
      <c r="C360" s="6">
        <v>2</v>
      </c>
      <c r="D360" s="2" t="s">
        <v>431</v>
      </c>
      <c r="E360" s="6"/>
      <c r="F360" s="18">
        <f>37101.34+69513.12</f>
        <v>106614.45999999999</v>
      </c>
      <c r="G360" s="18">
        <f>26187.69</f>
        <v>26187.69</v>
      </c>
      <c r="H360" s="18">
        <f>2153.27+841.95+4955.64</f>
        <v>7950.8600000000006</v>
      </c>
      <c r="I360" s="18">
        <f>1112.23+147561.34</f>
        <v>148673.57</v>
      </c>
      <c r="J360" s="18">
        <f>753.44</f>
        <v>753.44</v>
      </c>
      <c r="K360" s="18">
        <f>970.24</f>
        <v>970.24</v>
      </c>
      <c r="L360" s="19">
        <f>SUM(F360:K360)</f>
        <v>291150.26</v>
      </c>
      <c r="M360" s="8"/>
      <c r="N360" s="266"/>
    </row>
    <row r="361" spans="1:22" s="3" customFormat="1" ht="12.2" customHeight="1" x14ac:dyDescent="0.15">
      <c r="A361" s="3" t="s">
        <v>543</v>
      </c>
      <c r="B361" s="2" t="s">
        <v>366</v>
      </c>
      <c r="C361" s="6">
        <v>3</v>
      </c>
      <c r="D361" s="2" t="s">
        <v>431</v>
      </c>
      <c r="E361" s="6"/>
      <c r="F361" s="18">
        <f>80060.78+162318.46</f>
        <v>242379.24</v>
      </c>
      <c r="G361" s="18">
        <f>56510.28</f>
        <v>56510.28</v>
      </c>
      <c r="H361" s="18">
        <f>4646.53+1816.83+5420.49</f>
        <v>11883.849999999999</v>
      </c>
      <c r="I361" s="18">
        <f>2400.08+270375.88</f>
        <v>272775.96000000002</v>
      </c>
      <c r="J361" s="18">
        <f>1625.85</f>
        <v>1625.85</v>
      </c>
      <c r="K361" s="18">
        <f>2093.67</f>
        <v>2093.67</v>
      </c>
      <c r="L361" s="19">
        <f>SUM(F361:K361)</f>
        <v>587268.85000000009</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636467.91</v>
      </c>
      <c r="G363" s="47">
        <f t="shared" si="22"/>
        <v>137829.95000000001</v>
      </c>
      <c r="H363" s="47">
        <f t="shared" si="22"/>
        <v>43782.26</v>
      </c>
      <c r="I363" s="47">
        <f t="shared" si="22"/>
        <v>736016.74</v>
      </c>
      <c r="J363" s="47">
        <f t="shared" si="22"/>
        <v>5726.09</v>
      </c>
      <c r="K363" s="47">
        <f t="shared" si="22"/>
        <v>5106.51</v>
      </c>
      <c r="L363" s="47">
        <f t="shared" si="22"/>
        <v>1564929.46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381.32+275773.46</f>
        <v>276154.78000000003</v>
      </c>
      <c r="G368" s="18">
        <f>181.13+135403.77</f>
        <v>135584.9</v>
      </c>
      <c r="H368" s="18">
        <f>390.85+253022.88</f>
        <v>253413.73</v>
      </c>
      <c r="I368" s="56">
        <f>SUM(F368:H368)</f>
        <v>665153.41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1215.66+744.56+36452.21</f>
        <v>38412.43</v>
      </c>
      <c r="G369" s="63">
        <f>577.44+353.67+12157.57-0.01</f>
        <v>13088.67</v>
      </c>
      <c r="H369" s="63">
        <f>1246.05+763.18+17353</f>
        <v>19362.23</v>
      </c>
      <c r="I369" s="56">
        <f>SUM(F369:H369)</f>
        <v>70863.33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314567.21000000002</v>
      </c>
      <c r="G370" s="47">
        <f>SUM(G368:G369)</f>
        <v>148673.57</v>
      </c>
      <c r="H370" s="47">
        <f>SUM(H368:H369)</f>
        <v>272775.96000000002</v>
      </c>
      <c r="I370" s="47">
        <f>SUM(I368:I369)</f>
        <v>736016.74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4098629.26</f>
        <v>4098629.26</v>
      </c>
      <c r="G466" s="18">
        <v>432505</v>
      </c>
      <c r="H466" s="18">
        <v>0</v>
      </c>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67796924.450000003</v>
      </c>
      <c r="G469" s="18">
        <v>1344803.76</v>
      </c>
      <c r="H469" s="18">
        <v>1139961.98</v>
      </c>
      <c r="I469" s="18"/>
      <c r="J469" s="18"/>
      <c r="K469" s="24" t="s">
        <v>288</v>
      </c>
      <c r="L469" s="24" t="s">
        <v>288</v>
      </c>
      <c r="N469" s="265"/>
    </row>
    <row r="470" spans="1:14" s="52" customFormat="1" ht="12.2" customHeight="1" x14ac:dyDescent="0.2">
      <c r="A470" s="93" t="s">
        <v>611</v>
      </c>
      <c r="B470" s="75">
        <v>19</v>
      </c>
      <c r="C470" s="80">
        <v>3</v>
      </c>
      <c r="D470" s="2" t="s">
        <v>432</v>
      </c>
      <c r="E470" s="80"/>
      <c r="F470" s="18">
        <v>21129</v>
      </c>
      <c r="G470" s="18">
        <v>1070</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67818053.450000003</v>
      </c>
      <c r="G471" s="53">
        <f>SUM(G469:G470)</f>
        <v>1345873.76</v>
      </c>
      <c r="H471" s="53">
        <f>SUM(H469:H470)</f>
        <v>1139961.98</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102527.65+64793506.91+2735605+131253.18</f>
        <v>67762892.74000001</v>
      </c>
      <c r="G473" s="18">
        <v>1564929.46</v>
      </c>
      <c r="H473" s="18">
        <v>1139961.98</v>
      </c>
      <c r="I473" s="18"/>
      <c r="J473" s="18"/>
      <c r="K473" s="24" t="s">
        <v>288</v>
      </c>
      <c r="L473" s="24" t="s">
        <v>288</v>
      </c>
      <c r="N473" s="265"/>
    </row>
    <row r="474" spans="1:14" s="52" customFormat="1" ht="12.2" customHeight="1" x14ac:dyDescent="0.2">
      <c r="A474" s="93" t="s">
        <v>613</v>
      </c>
      <c r="B474" s="75">
        <v>19</v>
      </c>
      <c r="C474" s="80">
        <v>6</v>
      </c>
      <c r="D474" s="2" t="s">
        <v>432</v>
      </c>
      <c r="E474" s="80"/>
      <c r="F474" s="18" t="s">
        <v>286</v>
      </c>
      <c r="G474" s="18">
        <v>-864</v>
      </c>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67762892.74000001</v>
      </c>
      <c r="G475" s="53">
        <f>SUM(G473:G474)</f>
        <v>1564065.46</v>
      </c>
      <c r="H475" s="53">
        <f>SUM(H473:H474)</f>
        <v>1139961.98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4153789.9699999988</v>
      </c>
      <c r="G477" s="53">
        <f>(G466+G471)- G475</f>
        <v>214313.30000000005</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1649</v>
      </c>
      <c r="B481" s="112"/>
      <c r="C481" s="112"/>
      <c r="D481" s="112"/>
      <c r="E481" s="112"/>
      <c r="F481" s="112"/>
      <c r="G481" s="112"/>
      <c r="H481" s="112"/>
      <c r="I481" s="112" t="s">
        <v>401</v>
      </c>
      <c r="J481" s="112"/>
      <c r="K481" s="95"/>
      <c r="L481" s="95"/>
      <c r="N481" s="265"/>
    </row>
    <row r="482" spans="1:14" s="52" customFormat="1" ht="12.2" customHeight="1" x14ac:dyDescent="0.2">
      <c r="A482" s="175" t="s">
        <v>1650</v>
      </c>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1649</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15</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t="s">
        <v>1646</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1645</v>
      </c>
      <c r="G493" s="155" t="s">
        <v>1647</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800000</v>
      </c>
      <c r="G494" s="18">
        <v>32715000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4.5199999999999996</v>
      </c>
      <c r="G495" s="18">
        <v>2.63</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320000</v>
      </c>
      <c r="G496" s="18">
        <v>24445000</v>
      </c>
      <c r="H496" s="18"/>
      <c r="I496" s="18"/>
      <c r="J496" s="18"/>
      <c r="K496" s="53">
        <f>SUM(F496:J496)</f>
        <v>24765000</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40000</v>
      </c>
      <c r="G498" s="18">
        <v>1710000</v>
      </c>
      <c r="H498" s="18"/>
      <c r="I498" s="18"/>
      <c r="J498" s="18"/>
      <c r="K498" s="53">
        <f t="shared" si="35"/>
        <v>1750000</v>
      </c>
      <c r="L498" s="24" t="s">
        <v>288</v>
      </c>
      <c r="N498" s="265"/>
    </row>
    <row r="499" spans="1:14" s="52" customFormat="1" ht="12.2" customHeight="1" x14ac:dyDescent="0.2">
      <c r="A499" s="200" t="s">
        <v>622</v>
      </c>
      <c r="B499" s="201">
        <v>20</v>
      </c>
      <c r="C499" s="202">
        <v>9</v>
      </c>
      <c r="D499" s="203" t="s">
        <v>432</v>
      </c>
      <c r="E499" s="202"/>
      <c r="F499" s="204">
        <v>280000</v>
      </c>
      <c r="G499" s="204">
        <v>22735000</v>
      </c>
      <c r="H499" s="204"/>
      <c r="I499" s="204"/>
      <c r="J499" s="204"/>
      <c r="K499" s="205">
        <f t="shared" si="35"/>
        <v>23015000</v>
      </c>
      <c r="L499" s="206" t="s">
        <v>288</v>
      </c>
      <c r="N499" s="265"/>
    </row>
    <row r="500" spans="1:14" s="52" customFormat="1" ht="12.2" customHeight="1" thickBot="1" x14ac:dyDescent="0.25">
      <c r="A500" s="22" t="s">
        <v>623</v>
      </c>
      <c r="B500" s="75">
        <v>20</v>
      </c>
      <c r="C500" s="115">
        <v>10</v>
      </c>
      <c r="D500" s="2" t="s">
        <v>432</v>
      </c>
      <c r="E500" s="115"/>
      <c r="F500" s="18">
        <f>58735-13670</f>
        <v>45065</v>
      </c>
      <c r="G500" s="18">
        <f>6986700-1116350</f>
        <v>5870350</v>
      </c>
      <c r="H500" s="18"/>
      <c r="I500" s="18"/>
      <c r="J500" s="18"/>
      <c r="K500" s="53">
        <f t="shared" si="35"/>
        <v>5915415</v>
      </c>
      <c r="L500" s="24" t="s">
        <v>288</v>
      </c>
      <c r="N500" s="265"/>
    </row>
    <row r="501" spans="1:14" s="52" customFormat="1" ht="12.2" customHeight="1" thickTop="1" x14ac:dyDescent="0.2">
      <c r="A501" s="139" t="s">
        <v>624</v>
      </c>
      <c r="B501" s="44">
        <v>20</v>
      </c>
      <c r="C501" s="195">
        <v>11</v>
      </c>
      <c r="D501" s="39" t="s">
        <v>432</v>
      </c>
      <c r="E501" s="195"/>
      <c r="F501" s="42">
        <f>SUM(F499:F500)</f>
        <v>325065</v>
      </c>
      <c r="G501" s="42">
        <f>SUM(G499:G500)</f>
        <v>28605350</v>
      </c>
      <c r="H501" s="42">
        <f>SUM(H499:H500)</f>
        <v>0</v>
      </c>
      <c r="I501" s="42">
        <f>SUM(I499:I500)</f>
        <v>0</v>
      </c>
      <c r="J501" s="42">
        <f>SUM(J499:J500)</f>
        <v>0</v>
      </c>
      <c r="K501" s="42">
        <f t="shared" si="35"/>
        <v>28930415</v>
      </c>
      <c r="L501" s="45" t="s">
        <v>288</v>
      </c>
      <c r="N501" s="265"/>
    </row>
    <row r="502" spans="1:14" s="52" customFormat="1" ht="12.2" customHeight="1" x14ac:dyDescent="0.2">
      <c r="A502" s="200" t="s">
        <v>651</v>
      </c>
      <c r="B502" s="201">
        <v>20</v>
      </c>
      <c r="C502" s="202">
        <v>12</v>
      </c>
      <c r="D502" s="203" t="s">
        <v>432</v>
      </c>
      <c r="E502" s="202"/>
      <c r="F502" s="204">
        <v>40000</v>
      </c>
      <c r="G502" s="204">
        <v>1805000</v>
      </c>
      <c r="H502" s="204"/>
      <c r="I502" s="204"/>
      <c r="J502" s="204"/>
      <c r="K502" s="205">
        <f t="shared" si="35"/>
        <v>1845000</v>
      </c>
      <c r="L502" s="206" t="s">
        <v>288</v>
      </c>
      <c r="N502" s="265"/>
    </row>
    <row r="503" spans="1:14" s="52" customFormat="1" ht="12.2" customHeight="1" thickBot="1" x14ac:dyDescent="0.25">
      <c r="A503" s="22" t="s">
        <v>625</v>
      </c>
      <c r="B503" s="75">
        <v>20</v>
      </c>
      <c r="C503" s="115">
        <v>13</v>
      </c>
      <c r="D503" s="2" t="s">
        <v>432</v>
      </c>
      <c r="E503" s="115"/>
      <c r="F503" s="18">
        <f>6395+5495</f>
        <v>11890</v>
      </c>
      <c r="G503" s="18">
        <f>545350+509250</f>
        <v>1054600</v>
      </c>
      <c r="H503" s="18"/>
      <c r="I503" s="18"/>
      <c r="J503" s="18"/>
      <c r="K503" s="53">
        <f t="shared" si="35"/>
        <v>1066490</v>
      </c>
      <c r="L503" s="24" t="s">
        <v>288</v>
      </c>
      <c r="N503" s="265"/>
    </row>
    <row r="504" spans="1:14" s="52" customFormat="1" ht="12.2" customHeight="1" thickTop="1" x14ac:dyDescent="0.2">
      <c r="A504" s="139" t="s">
        <v>626</v>
      </c>
      <c r="B504" s="44">
        <v>20</v>
      </c>
      <c r="C504" s="195">
        <v>14</v>
      </c>
      <c r="D504" s="39" t="s">
        <v>432</v>
      </c>
      <c r="E504" s="195"/>
      <c r="F504" s="42">
        <f>SUM(F502:F503)</f>
        <v>51890</v>
      </c>
      <c r="G504" s="42">
        <f>SUM(G502:G503)</f>
        <v>2859600</v>
      </c>
      <c r="H504" s="42">
        <f>SUM(H502:H503)</f>
        <v>0</v>
      </c>
      <c r="I504" s="42">
        <f>SUM(I502:I503)</f>
        <v>0</v>
      </c>
      <c r="J504" s="42">
        <f>SUM(J502:J503)</f>
        <v>0</v>
      </c>
      <c r="K504" s="42">
        <f t="shared" si="35"/>
        <v>2911490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11079+8209.66+69450.02+21875.33+244481.09+28028.47-40876.43+167069.93+3345852.61</f>
        <v>3855169.6799999997</v>
      </c>
      <c r="G522" s="18">
        <f>88100.95+1764367.72</f>
        <v>1852468.67</v>
      </c>
      <c r="H522" s="18">
        <f>5488+6932.45+450487.3</f>
        <v>462907.75</v>
      </c>
      <c r="I522" s="18">
        <f>883.84+15569.51</f>
        <v>16453.349999999999</v>
      </c>
      <c r="J522" s="18">
        <v>4580.92</v>
      </c>
      <c r="K522" s="18"/>
      <c r="L522" s="88">
        <f>SUM(F522:K522)</f>
        <v>6191580.3699999992</v>
      </c>
      <c r="N522" s="265"/>
    </row>
    <row r="523" spans="1:14" s="52" customFormat="1" ht="12.2" customHeight="1" x14ac:dyDescent="0.2">
      <c r="A523" s="22" t="s">
        <v>634</v>
      </c>
      <c r="B523" s="105">
        <v>21</v>
      </c>
      <c r="C523" s="115">
        <v>2</v>
      </c>
      <c r="D523" s="2" t="s">
        <v>432</v>
      </c>
      <c r="E523" s="115"/>
      <c r="F523" s="18">
        <f>3843.74+2848.25+24094.91+7589.4+84819.97+9724.16-14181.62+57963.04+963421.46</f>
        <v>1140123.31</v>
      </c>
      <c r="G523" s="18">
        <f>30565.64+508040.83</f>
        <v>538606.47</v>
      </c>
      <c r="H523" s="18">
        <f>1904+1345.96+144500.03</f>
        <v>147749.99</v>
      </c>
      <c r="I523" s="18">
        <f>306.64+2117.98</f>
        <v>2424.62</v>
      </c>
      <c r="J523" s="18">
        <v>1589.16</v>
      </c>
      <c r="K523" s="18"/>
      <c r="L523" s="88">
        <f>SUM(F523:K523)</f>
        <v>1830493.55</v>
      </c>
      <c r="N523" s="265"/>
    </row>
    <row r="524" spans="1:14" s="52" customFormat="1" ht="12.2" customHeight="1" thickBot="1" x14ac:dyDescent="0.25">
      <c r="A524" s="22" t="s">
        <v>635</v>
      </c>
      <c r="B524" s="105">
        <v>21</v>
      </c>
      <c r="C524" s="115">
        <v>3</v>
      </c>
      <c r="D524" s="2" t="s">
        <v>432</v>
      </c>
      <c r="E524" s="115"/>
      <c r="F524" s="18">
        <f>7687.49+5696.5+48189.81+15178.8+169639.94+19448.32-28363.28+115926.08+1696349.43</f>
        <v>2049753.0899999999</v>
      </c>
      <c r="G524" s="18">
        <f>61131.27+894535.57</f>
        <v>955666.84</v>
      </c>
      <c r="H524" s="18">
        <f>3808+51429.83+1428434.36</f>
        <v>1483672.1900000002</v>
      </c>
      <c r="I524" s="18">
        <f>613.28+7394.87</f>
        <v>8008.15</v>
      </c>
      <c r="J524" s="18">
        <f>3178.32</f>
        <v>3178.32</v>
      </c>
      <c r="K524" s="18"/>
      <c r="L524" s="88">
        <f>SUM(F524:K524)</f>
        <v>4500278.5900000008</v>
      </c>
      <c r="N524" s="265"/>
    </row>
    <row r="525" spans="1:14" s="52" customFormat="1" ht="12.2" customHeight="1" thickTop="1" x14ac:dyDescent="0.2">
      <c r="A525" s="139" t="s">
        <v>63</v>
      </c>
      <c r="B525" s="107">
        <v>21</v>
      </c>
      <c r="C525" s="195">
        <v>4</v>
      </c>
      <c r="D525" s="196" t="s">
        <v>432</v>
      </c>
      <c r="E525" s="195"/>
      <c r="F525" s="108">
        <f>SUM(F522:F524)</f>
        <v>7045046.0800000001</v>
      </c>
      <c r="G525" s="108">
        <f t="shared" ref="G525:L525" si="36">SUM(G522:G524)</f>
        <v>3346741.9799999995</v>
      </c>
      <c r="H525" s="108">
        <f t="shared" si="36"/>
        <v>2094329.9300000002</v>
      </c>
      <c r="I525" s="108">
        <f t="shared" si="36"/>
        <v>26886.119999999995</v>
      </c>
      <c r="J525" s="108">
        <f t="shared" si="36"/>
        <v>9348.4</v>
      </c>
      <c r="K525" s="108">
        <f t="shared" si="36"/>
        <v>0</v>
      </c>
      <c r="L525" s="89">
        <f t="shared" si="36"/>
        <v>12522352.51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36672.16+4204.27+535796.41</f>
        <v>576672.84000000008</v>
      </c>
      <c r="G527" s="18">
        <v>282541.40000000002</v>
      </c>
      <c r="H527" s="18">
        <f>555.5+7840.61+508225.69</f>
        <v>516621.8</v>
      </c>
      <c r="I527" s="18">
        <f>469.71+116.62+4705.36+2350.1</f>
        <v>7641.7899999999991</v>
      </c>
      <c r="J527" s="18"/>
      <c r="K527" s="18"/>
      <c r="L527" s="88">
        <f>SUM(F527:K527)</f>
        <v>1383477.83</v>
      </c>
      <c r="M527" s="8"/>
      <c r="N527" s="266"/>
    </row>
    <row r="528" spans="1:14" s="3" customFormat="1" ht="12.2" customHeight="1" x14ac:dyDescent="0.15">
      <c r="A528" s="22" t="s">
        <v>634</v>
      </c>
      <c r="B528" s="105">
        <v>21</v>
      </c>
      <c r="C528" s="115">
        <v>6</v>
      </c>
      <c r="D528" s="2" t="s">
        <v>432</v>
      </c>
      <c r="E528" s="115"/>
      <c r="F528" s="18">
        <f>12723+1458.62+80299.05</f>
        <v>94480.67</v>
      </c>
      <c r="G528" s="18">
        <v>42344.08</v>
      </c>
      <c r="H528" s="18">
        <f>192.73+2720.21+105531.12</f>
        <v>108444.06</v>
      </c>
      <c r="I528" s="18">
        <f>162.96+40.46+1632.47</f>
        <v>1835.89</v>
      </c>
      <c r="J528" s="18"/>
      <c r="K528" s="18"/>
      <c r="L528" s="88">
        <f>SUM(F528:K528)</f>
        <v>247104.7</v>
      </c>
      <c r="M528" s="8"/>
      <c r="N528" s="266"/>
    </row>
    <row r="529" spans="1:14" s="3" customFormat="1" ht="12.2" customHeight="1" thickBot="1" x14ac:dyDescent="0.2">
      <c r="A529" s="22" t="s">
        <v>635</v>
      </c>
      <c r="B529" s="118">
        <v>21</v>
      </c>
      <c r="C529" s="118">
        <v>7</v>
      </c>
      <c r="D529" s="2" t="s">
        <v>432</v>
      </c>
      <c r="E529" s="118"/>
      <c r="F529" s="18">
        <f>25445.99+2917.29+37922.4+49602.23</f>
        <v>115887.91</v>
      </c>
      <c r="G529" s="18">
        <v>302991.15999999997</v>
      </c>
      <c r="H529" s="18">
        <f>385.45+5440.43+155923.43</f>
        <v>161749.31</v>
      </c>
      <c r="I529" s="18">
        <f>325.92+80.92+3264.94</f>
        <v>3671.78</v>
      </c>
      <c r="J529" s="18"/>
      <c r="K529" s="18"/>
      <c r="L529" s="88">
        <f>SUM(F529:K529)</f>
        <v>584300.15999999992</v>
      </c>
      <c r="M529" s="8"/>
      <c r="N529" s="266"/>
    </row>
    <row r="530" spans="1:14" s="3" customFormat="1" ht="12.2" customHeight="1" thickTop="1" x14ac:dyDescent="0.15">
      <c r="A530" s="139" t="s">
        <v>65</v>
      </c>
      <c r="B530" s="107">
        <v>21</v>
      </c>
      <c r="C530" s="107">
        <v>8</v>
      </c>
      <c r="D530" s="158" t="s">
        <v>432</v>
      </c>
      <c r="E530" s="107"/>
      <c r="F530" s="89">
        <f>SUM(F527:F529)</f>
        <v>787041.42000000016</v>
      </c>
      <c r="G530" s="89">
        <f t="shared" ref="G530:L530" si="37">SUM(G527:G529)</f>
        <v>627876.64</v>
      </c>
      <c r="H530" s="89">
        <f t="shared" si="37"/>
        <v>786815.16999999993</v>
      </c>
      <c r="I530" s="89">
        <f t="shared" si="37"/>
        <v>13149.46</v>
      </c>
      <c r="J530" s="89">
        <f t="shared" si="37"/>
        <v>0</v>
      </c>
      <c r="K530" s="89">
        <f t="shared" si="37"/>
        <v>0</v>
      </c>
      <c r="L530" s="89">
        <f t="shared" si="37"/>
        <v>2214882.69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17354.18+104947.66</f>
        <v>122301.84</v>
      </c>
      <c r="G532" s="18">
        <f>9151.38+55342.03</f>
        <v>64493.409999999996</v>
      </c>
      <c r="H532" s="18">
        <f>117.87+1163.65</f>
        <v>1281.52</v>
      </c>
      <c r="I532" s="18">
        <v>632.25</v>
      </c>
      <c r="J532" s="18">
        <v>9022.65</v>
      </c>
      <c r="K532" s="18">
        <f>1462.58+2485.53</f>
        <v>3948.11</v>
      </c>
      <c r="L532" s="88">
        <f>SUM(F532:K532)</f>
        <v>201679.77999999997</v>
      </c>
      <c r="M532" s="8"/>
      <c r="N532" s="266"/>
    </row>
    <row r="533" spans="1:14" s="3" customFormat="1" ht="12.2" customHeight="1" x14ac:dyDescent="0.15">
      <c r="A533" s="22" t="s">
        <v>634</v>
      </c>
      <c r="B533" s="105">
        <v>21</v>
      </c>
      <c r="C533" s="105">
        <v>10</v>
      </c>
      <c r="D533" s="2" t="s">
        <v>432</v>
      </c>
      <c r="E533" s="105"/>
      <c r="F533" s="18">
        <f>6020.84+36410.41</f>
        <v>42431.25</v>
      </c>
      <c r="G533" s="18">
        <f>3174.97+19200.3</f>
        <v>22375.27</v>
      </c>
      <c r="H533" s="18">
        <f>40.89+403.71</f>
        <v>444.59999999999997</v>
      </c>
      <c r="I533" s="18">
        <v>219.35</v>
      </c>
      <c r="J533" s="18">
        <v>3130.31</v>
      </c>
      <c r="K533" s="18">
        <f>507.42+862.33</f>
        <v>1369.75</v>
      </c>
      <c r="L533" s="88">
        <f>SUM(F533:K533)</f>
        <v>69970.53</v>
      </c>
      <c r="M533" s="8"/>
      <c r="N533" s="266"/>
    </row>
    <row r="534" spans="1:14" s="3" customFormat="1" ht="12.2" customHeight="1" thickBot="1" x14ac:dyDescent="0.2">
      <c r="A534" s="22" t="s">
        <v>635</v>
      </c>
      <c r="B534" s="105">
        <v>21</v>
      </c>
      <c r="C534" s="105">
        <v>11</v>
      </c>
      <c r="D534" s="2" t="s">
        <v>432</v>
      </c>
      <c r="E534" s="105"/>
      <c r="F534" s="18">
        <f>12041.68+72820.83+20084.73</f>
        <v>104947.24</v>
      </c>
      <c r="G534" s="18">
        <f>6349.94+38400.59+10591.28</f>
        <v>55341.81</v>
      </c>
      <c r="H534" s="18">
        <f>81.79+807.43</f>
        <v>889.21999999999991</v>
      </c>
      <c r="I534" s="18">
        <v>438.7</v>
      </c>
      <c r="J534" s="18">
        <v>6260.61</v>
      </c>
      <c r="K534" s="18">
        <f>1014.85+1724.66</f>
        <v>2739.51</v>
      </c>
      <c r="L534" s="88">
        <f>SUM(F534:K534)</f>
        <v>170617.09</v>
      </c>
      <c r="M534" s="8"/>
      <c r="N534" s="266"/>
    </row>
    <row r="535" spans="1:14" s="3" customFormat="1" ht="12.2" customHeight="1" thickTop="1" x14ac:dyDescent="0.15">
      <c r="A535" s="139" t="s">
        <v>67</v>
      </c>
      <c r="B535" s="107">
        <v>21</v>
      </c>
      <c r="C535" s="107">
        <v>12</v>
      </c>
      <c r="D535" s="158" t="s">
        <v>432</v>
      </c>
      <c r="E535" s="107"/>
      <c r="F535" s="89">
        <f>SUM(F532:F534)</f>
        <v>269680.33</v>
      </c>
      <c r="G535" s="89">
        <f t="shared" ref="G535:L535" si="38">SUM(G532:G534)</f>
        <v>142210.49</v>
      </c>
      <c r="H535" s="89">
        <f t="shared" si="38"/>
        <v>2615.3399999999997</v>
      </c>
      <c r="I535" s="89">
        <f t="shared" si="38"/>
        <v>1290.3</v>
      </c>
      <c r="J535" s="89">
        <f t="shared" si="38"/>
        <v>18413.57</v>
      </c>
      <c r="K535" s="89">
        <f t="shared" si="38"/>
        <v>8057.3700000000008</v>
      </c>
      <c r="L535" s="89">
        <f t="shared" si="38"/>
        <v>442267.39999999991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22504.3</v>
      </c>
      <c r="I537" s="18"/>
      <c r="J537" s="18"/>
      <c r="K537" s="18"/>
      <c r="L537" s="88">
        <f>SUM(F537:K537)</f>
        <v>22504.3</v>
      </c>
      <c r="M537" s="8"/>
      <c r="N537" s="266"/>
    </row>
    <row r="538" spans="1:14" s="3" customFormat="1" ht="12.2" customHeight="1" x14ac:dyDescent="0.15">
      <c r="A538" s="22" t="s">
        <v>634</v>
      </c>
      <c r="B538" s="105">
        <v>21</v>
      </c>
      <c r="C538" s="105">
        <v>14</v>
      </c>
      <c r="D538" s="2" t="s">
        <v>432</v>
      </c>
      <c r="E538" s="105"/>
      <c r="F538" s="18"/>
      <c r="G538" s="18"/>
      <c r="H538" s="18">
        <v>7807.61</v>
      </c>
      <c r="I538" s="18"/>
      <c r="J538" s="18"/>
      <c r="K538" s="18"/>
      <c r="L538" s="88">
        <f>SUM(F538:K538)</f>
        <v>7807.61</v>
      </c>
      <c r="M538" s="8"/>
      <c r="N538" s="266"/>
    </row>
    <row r="539" spans="1:14" s="3" customFormat="1" ht="12.2" customHeight="1" thickBot="1" x14ac:dyDescent="0.2">
      <c r="A539" s="22" t="s">
        <v>635</v>
      </c>
      <c r="B539" s="105">
        <v>21</v>
      </c>
      <c r="C539" s="105">
        <v>15</v>
      </c>
      <c r="D539" s="2" t="s">
        <v>432</v>
      </c>
      <c r="E539" s="105"/>
      <c r="F539" s="18"/>
      <c r="G539" s="18"/>
      <c r="H539" s="18">
        <v>15615.23</v>
      </c>
      <c r="I539" s="18"/>
      <c r="J539" s="18"/>
      <c r="K539" s="18"/>
      <c r="L539" s="88">
        <f>SUM(F539:K539)</f>
        <v>15615.23</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45927.14</v>
      </c>
      <c r="I540" s="89">
        <f t="shared" si="39"/>
        <v>0</v>
      </c>
      <c r="J540" s="89">
        <f t="shared" si="39"/>
        <v>0</v>
      </c>
      <c r="K540" s="89">
        <f t="shared" si="39"/>
        <v>0</v>
      </c>
      <c r="L540" s="89">
        <f t="shared" si="39"/>
        <v>45927.14</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f>11169.06+7168.76</f>
        <v>18337.82</v>
      </c>
      <c r="G542" s="18">
        <f>5889.7+3780.3</f>
        <v>9670</v>
      </c>
      <c r="H542" s="18">
        <v>375274.64</v>
      </c>
      <c r="I542" s="18"/>
      <c r="J542" s="18"/>
      <c r="K542" s="18"/>
      <c r="L542" s="88">
        <f>SUM(F542:K542)</f>
        <v>403282.46</v>
      </c>
      <c r="M542" s="8"/>
      <c r="N542" s="266"/>
    </row>
    <row r="543" spans="1:14" s="3" customFormat="1" ht="12.2" customHeight="1" x14ac:dyDescent="0.15">
      <c r="A543" s="22" t="s">
        <v>634</v>
      </c>
      <c r="B543" s="105">
        <v>21</v>
      </c>
      <c r="C543" s="105">
        <v>18</v>
      </c>
      <c r="D543" s="2" t="s">
        <v>432</v>
      </c>
      <c r="E543" s="105"/>
      <c r="F543" s="18">
        <f>3874.98+2487.12</f>
        <v>6362.1</v>
      </c>
      <c r="G543" s="18">
        <f>2043.39+1311.53</f>
        <v>3354.92</v>
      </c>
      <c r="H543" s="18">
        <v>130197.32</v>
      </c>
      <c r="I543" s="18"/>
      <c r="J543" s="18"/>
      <c r="K543" s="18"/>
      <c r="L543" s="88">
        <f>SUM(F543:K543)</f>
        <v>139914.34</v>
      </c>
      <c r="M543" s="8"/>
      <c r="N543" s="266"/>
    </row>
    <row r="544" spans="1:14" s="3" customFormat="1" ht="12.2" customHeight="1" thickBot="1" x14ac:dyDescent="0.2">
      <c r="A544" s="22" t="s">
        <v>635</v>
      </c>
      <c r="B544" s="105">
        <v>21</v>
      </c>
      <c r="C544" s="105">
        <v>19</v>
      </c>
      <c r="D544" s="2" t="s">
        <v>432</v>
      </c>
      <c r="E544" s="105"/>
      <c r="F544" s="18">
        <f>7749.96+4974.24</f>
        <v>12724.2</v>
      </c>
      <c r="G544" s="18">
        <f>4086.79+2623.07</f>
        <v>6709.8600000000006</v>
      </c>
      <c r="H544" s="18">
        <v>260394.65</v>
      </c>
      <c r="I544" s="18"/>
      <c r="J544" s="18"/>
      <c r="K544" s="18"/>
      <c r="L544" s="88">
        <f>SUM(F544:K544)</f>
        <v>279828.71000000002</v>
      </c>
      <c r="M544" s="8"/>
      <c r="N544" s="266"/>
    </row>
    <row r="545" spans="1:14" s="3" customFormat="1" ht="12.2" customHeight="1" thickTop="1" thickBot="1" x14ac:dyDescent="0.2">
      <c r="A545" s="130" t="s">
        <v>71</v>
      </c>
      <c r="B545" s="191">
        <v>21</v>
      </c>
      <c r="C545" s="191">
        <v>20</v>
      </c>
      <c r="D545" s="192" t="s">
        <v>432</v>
      </c>
      <c r="E545" s="191"/>
      <c r="F545" s="193">
        <f>SUM(F542:F544)</f>
        <v>37424.119999999995</v>
      </c>
      <c r="G545" s="193">
        <f t="shared" ref="G545:L545" si="40">SUM(G542:G544)</f>
        <v>19734.78</v>
      </c>
      <c r="H545" s="193">
        <f t="shared" si="40"/>
        <v>765866.61</v>
      </c>
      <c r="I545" s="193">
        <f t="shared" si="40"/>
        <v>0</v>
      </c>
      <c r="J545" s="193">
        <f t="shared" si="40"/>
        <v>0</v>
      </c>
      <c r="K545" s="193">
        <f t="shared" si="40"/>
        <v>0</v>
      </c>
      <c r="L545" s="193">
        <f t="shared" si="40"/>
        <v>823025.51</v>
      </c>
      <c r="M545" s="8"/>
      <c r="N545" s="266"/>
    </row>
    <row r="546" spans="1:14" s="3" customFormat="1" ht="12.2" customHeight="1" thickTop="1" x14ac:dyDescent="0.15">
      <c r="A546" s="98" t="s">
        <v>72</v>
      </c>
      <c r="B546" s="107">
        <v>21</v>
      </c>
      <c r="C546" s="107">
        <v>21</v>
      </c>
      <c r="D546" s="158" t="s">
        <v>432</v>
      </c>
      <c r="E546" s="107"/>
      <c r="F546" s="89">
        <f>F525+F530+F535+F540+F545</f>
        <v>8139191.9500000002</v>
      </c>
      <c r="G546" s="89">
        <f t="shared" ref="G546:L546" si="41">G525+G530+G535+G540+G545</f>
        <v>4136563.8899999992</v>
      </c>
      <c r="H546" s="89">
        <f t="shared" si="41"/>
        <v>3695554.19</v>
      </c>
      <c r="I546" s="89">
        <f t="shared" si="41"/>
        <v>41325.879999999997</v>
      </c>
      <c r="J546" s="89">
        <f t="shared" si="41"/>
        <v>27761.97</v>
      </c>
      <c r="K546" s="89">
        <f t="shared" si="41"/>
        <v>8057.3700000000008</v>
      </c>
      <c r="L546" s="89">
        <f t="shared" si="41"/>
        <v>16048455.25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6191580.3699999992</v>
      </c>
      <c r="G550" s="87">
        <f>L527</f>
        <v>1383477.83</v>
      </c>
      <c r="H550" s="87">
        <f>L532</f>
        <v>201679.77999999997</v>
      </c>
      <c r="I550" s="87">
        <f>L537</f>
        <v>22504.3</v>
      </c>
      <c r="J550" s="87">
        <f>L542</f>
        <v>403282.46</v>
      </c>
      <c r="K550" s="87">
        <f>SUM(F550:J550)</f>
        <v>8202524.7399999993</v>
      </c>
      <c r="L550" s="24" t="s">
        <v>288</v>
      </c>
      <c r="M550" s="8"/>
      <c r="N550" s="266"/>
    </row>
    <row r="551" spans="1:14" s="3" customFormat="1" ht="12.2" customHeight="1" x14ac:dyDescent="0.15">
      <c r="A551" s="22" t="s">
        <v>634</v>
      </c>
      <c r="B551" s="75">
        <v>21</v>
      </c>
      <c r="C551" s="75">
        <v>23</v>
      </c>
      <c r="D551" s="2" t="s">
        <v>432</v>
      </c>
      <c r="E551" s="75"/>
      <c r="F551" s="87">
        <f>L523</f>
        <v>1830493.55</v>
      </c>
      <c r="G551" s="87">
        <f>L528</f>
        <v>247104.7</v>
      </c>
      <c r="H551" s="87">
        <f>L533</f>
        <v>69970.53</v>
      </c>
      <c r="I551" s="87">
        <f>L538</f>
        <v>7807.61</v>
      </c>
      <c r="J551" s="87">
        <f>L543</f>
        <v>139914.34</v>
      </c>
      <c r="K551" s="87">
        <f>SUM(F551:J551)</f>
        <v>2295290.7299999995</v>
      </c>
      <c r="L551" s="24" t="s">
        <v>288</v>
      </c>
      <c r="M551" s="8"/>
      <c r="N551" s="266"/>
    </row>
    <row r="552" spans="1:14" s="3" customFormat="1" ht="12.2" customHeight="1" thickBot="1" x14ac:dyDescent="0.2">
      <c r="A552" s="22" t="s">
        <v>635</v>
      </c>
      <c r="B552" s="75">
        <v>21</v>
      </c>
      <c r="C552" s="75">
        <v>24</v>
      </c>
      <c r="D552" s="2" t="s">
        <v>432</v>
      </c>
      <c r="E552" s="75"/>
      <c r="F552" s="87">
        <f>L524</f>
        <v>4500278.5900000008</v>
      </c>
      <c r="G552" s="87">
        <f>L529</f>
        <v>584300.15999999992</v>
      </c>
      <c r="H552" s="87">
        <f>L534</f>
        <v>170617.09</v>
      </c>
      <c r="I552" s="87">
        <f>L539</f>
        <v>15615.23</v>
      </c>
      <c r="J552" s="87">
        <f>L544</f>
        <v>279828.71000000002</v>
      </c>
      <c r="K552" s="87">
        <f>SUM(F552:J552)</f>
        <v>5550639.7800000012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12522352.51</v>
      </c>
      <c r="G553" s="89">
        <f t="shared" si="42"/>
        <v>2214882.69</v>
      </c>
      <c r="H553" s="89">
        <f t="shared" si="42"/>
        <v>442267.39999999991</v>
      </c>
      <c r="I553" s="89">
        <f t="shared" si="42"/>
        <v>45927.14</v>
      </c>
      <c r="J553" s="89">
        <f t="shared" si="42"/>
        <v>823025.51</v>
      </c>
      <c r="K553" s="89">
        <f t="shared" si="42"/>
        <v>16048455.25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45887</v>
      </c>
      <c r="G563" s="18">
        <v>24197.58</v>
      </c>
      <c r="H563" s="18"/>
      <c r="I563" s="18">
        <v>1423.84</v>
      </c>
      <c r="J563" s="18"/>
      <c r="K563" s="18"/>
      <c r="L563" s="88">
        <f>SUM(F563:K563)</f>
        <v>71508.42</v>
      </c>
      <c r="M563" s="8"/>
      <c r="N563" s="266"/>
    </row>
    <row r="564" spans="1:14" s="3" customFormat="1" ht="12.2" customHeight="1" x14ac:dyDescent="0.15">
      <c r="A564" s="22" t="s">
        <v>634</v>
      </c>
      <c r="B564" s="105">
        <v>22</v>
      </c>
      <c r="C564" s="115">
        <v>6</v>
      </c>
      <c r="D564" s="2" t="s">
        <v>432</v>
      </c>
      <c r="E564" s="115"/>
      <c r="F564" s="18">
        <v>57494.71</v>
      </c>
      <c r="G564" s="18">
        <v>30318.67</v>
      </c>
      <c r="H564" s="18"/>
      <c r="I564" s="18">
        <v>493.99</v>
      </c>
      <c r="J564" s="18"/>
      <c r="K564" s="18"/>
      <c r="L564" s="88">
        <f>SUM(F564:K564)</f>
        <v>88307.37000000001</v>
      </c>
      <c r="M564" s="8"/>
      <c r="N564" s="266"/>
    </row>
    <row r="565" spans="1:14" s="3" customFormat="1" ht="12.2" customHeight="1" thickBot="1" x14ac:dyDescent="0.2">
      <c r="A565" s="22" t="s">
        <v>635</v>
      </c>
      <c r="B565" s="105">
        <v>22</v>
      </c>
      <c r="C565" s="118">
        <v>7</v>
      </c>
      <c r="D565" s="2" t="s">
        <v>432</v>
      </c>
      <c r="E565" s="118"/>
      <c r="F565" s="18"/>
      <c r="G565" s="18"/>
      <c r="H565" s="18"/>
      <c r="I565" s="18">
        <v>987.97</v>
      </c>
      <c r="J565" s="18"/>
      <c r="K565" s="18"/>
      <c r="L565" s="88">
        <f>SUM(F565:K565)</f>
        <v>987.97</v>
      </c>
      <c r="M565" s="8"/>
      <c r="N565" s="266"/>
    </row>
    <row r="566" spans="1:14" s="3" customFormat="1" ht="12.2" customHeight="1" thickTop="1" x14ac:dyDescent="0.15">
      <c r="A566" s="139" t="s">
        <v>65</v>
      </c>
      <c r="B566" s="107">
        <v>22</v>
      </c>
      <c r="C566" s="107">
        <v>8</v>
      </c>
      <c r="D566" s="196" t="s">
        <v>432</v>
      </c>
      <c r="E566" s="107"/>
      <c r="F566" s="89">
        <f t="shared" ref="F566:L566" si="44">SUM(F563:F565)</f>
        <v>103381.70999999999</v>
      </c>
      <c r="G566" s="89">
        <f t="shared" si="44"/>
        <v>54516.25</v>
      </c>
      <c r="H566" s="89">
        <f t="shared" si="44"/>
        <v>0</v>
      </c>
      <c r="I566" s="89">
        <f t="shared" si="44"/>
        <v>2905.8</v>
      </c>
      <c r="J566" s="89">
        <f t="shared" si="44"/>
        <v>0</v>
      </c>
      <c r="K566" s="89">
        <f t="shared" si="44"/>
        <v>0</v>
      </c>
      <c r="L566" s="89">
        <f t="shared" si="44"/>
        <v>160803.76</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269795.15000000002</v>
      </c>
      <c r="G568" s="18">
        <v>142271.01999999999</v>
      </c>
      <c r="H568" s="18"/>
      <c r="I568" s="18">
        <v>3832.06</v>
      </c>
      <c r="J568" s="18"/>
      <c r="K568" s="18">
        <v>3084.55</v>
      </c>
      <c r="L568" s="88">
        <f>SUM(F568:K568)</f>
        <v>418982.78</v>
      </c>
      <c r="M568" s="8"/>
      <c r="N568" s="266"/>
    </row>
    <row r="569" spans="1:14" s="3" customFormat="1" ht="12.2" customHeight="1" x14ac:dyDescent="0.15">
      <c r="A569" s="22" t="s">
        <v>634</v>
      </c>
      <c r="B569" s="105">
        <v>22</v>
      </c>
      <c r="C569" s="105">
        <v>10</v>
      </c>
      <c r="D569" s="2" t="s">
        <v>432</v>
      </c>
      <c r="E569" s="105"/>
      <c r="F569" s="18">
        <v>67093.759999999995</v>
      </c>
      <c r="G569" s="18">
        <v>35380.54</v>
      </c>
      <c r="H569" s="18"/>
      <c r="I569" s="18">
        <v>2782.5</v>
      </c>
      <c r="J569" s="18"/>
      <c r="K569" s="18">
        <v>1070.1500000000001</v>
      </c>
      <c r="L569" s="88">
        <f>SUM(F569:K569)</f>
        <v>106326.94999999998</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v>2140.3000000000002</v>
      </c>
      <c r="L570" s="88">
        <f>SUM(F570:K570)</f>
        <v>2140.3000000000002</v>
      </c>
      <c r="M570" s="8"/>
      <c r="N570" s="266"/>
    </row>
    <row r="571" spans="1:14" s="3" customFormat="1" ht="12.2" customHeight="1" thickTop="1" thickBot="1" x14ac:dyDescent="0.2">
      <c r="A571" s="130" t="s">
        <v>67</v>
      </c>
      <c r="B571" s="191">
        <v>22</v>
      </c>
      <c r="C571" s="191">
        <v>12</v>
      </c>
      <c r="D571" s="197" t="s">
        <v>432</v>
      </c>
      <c r="E571" s="191"/>
      <c r="F571" s="193">
        <f>SUM(F568:F570)</f>
        <v>336888.91000000003</v>
      </c>
      <c r="G571" s="193">
        <f t="shared" ref="G571:L571" si="45">SUM(G568:G570)</f>
        <v>177651.56</v>
      </c>
      <c r="H571" s="193">
        <f t="shared" si="45"/>
        <v>0</v>
      </c>
      <c r="I571" s="193">
        <f t="shared" si="45"/>
        <v>6614.5599999999995</v>
      </c>
      <c r="J571" s="193">
        <f t="shared" si="45"/>
        <v>0</v>
      </c>
      <c r="K571" s="193">
        <f t="shared" si="45"/>
        <v>6295.0000000000009</v>
      </c>
      <c r="L571" s="193">
        <f t="shared" si="45"/>
        <v>527450.03</v>
      </c>
      <c r="M571" s="8"/>
      <c r="N571" s="266"/>
    </row>
    <row r="572" spans="1:14" s="3" customFormat="1" ht="12.2" customHeight="1" thickTop="1" x14ac:dyDescent="0.15">
      <c r="A572" s="98" t="s">
        <v>88</v>
      </c>
      <c r="B572" s="107">
        <v>22</v>
      </c>
      <c r="C572" s="107">
        <v>13</v>
      </c>
      <c r="D572" s="158" t="s">
        <v>432</v>
      </c>
      <c r="E572" s="107"/>
      <c r="F572" s="89">
        <f>F561+F566+F571</f>
        <v>440270.62</v>
      </c>
      <c r="G572" s="89">
        <f t="shared" ref="G572:L572" si="46">G561+G566+G571</f>
        <v>232167.81</v>
      </c>
      <c r="H572" s="89">
        <f t="shared" si="46"/>
        <v>0</v>
      </c>
      <c r="I572" s="89">
        <f t="shared" si="46"/>
        <v>9520.36</v>
      </c>
      <c r="J572" s="89">
        <f t="shared" si="46"/>
        <v>0</v>
      </c>
      <c r="K572" s="89">
        <f t="shared" si="46"/>
        <v>6295.0000000000009</v>
      </c>
      <c r="L572" s="89">
        <f t="shared" si="46"/>
        <v>688253.79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340</v>
      </c>
      <c r="I580" s="87">
        <f t="shared" si="47"/>
        <v>340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450487.3</v>
      </c>
      <c r="G583" s="18">
        <v>144500.03</v>
      </c>
      <c r="H583" s="18">
        <v>1428434.36</v>
      </c>
      <c r="I583" s="87">
        <f t="shared" si="47"/>
        <v>2023421.69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81046.679999999993</v>
      </c>
      <c r="I585" s="87">
        <f t="shared" si="47"/>
        <v>81046.679999999993</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844179.49+23294.86+12284.08+0.01-7168.76-3780.3</f>
        <v>868809.37999999989</v>
      </c>
      <c r="I592" s="18">
        <f>292878.6+8081.89+4261.82+0.01-2487.12-1311.53</f>
        <v>301423.67</v>
      </c>
      <c r="J592" s="18">
        <f>585757.2+16163.78+8523.64-4974.24-2623.07</f>
        <v>602847.31000000006</v>
      </c>
      <c r="K592" s="104">
        <f t="shared" ref="K592:K598" si="48">SUM(H592:J592)</f>
        <v>1773080.3599999999</v>
      </c>
      <c r="L592" s="24" t="s">
        <v>288</v>
      </c>
      <c r="M592" s="8"/>
      <c r="N592" s="266"/>
    </row>
    <row r="593" spans="1:14" s="3" customFormat="1" ht="12.2" customHeight="1" x14ac:dyDescent="0.15">
      <c r="A593" s="3" t="s">
        <v>638</v>
      </c>
      <c r="B593" s="75">
        <v>23</v>
      </c>
      <c r="C593" s="75">
        <v>2</v>
      </c>
      <c r="D593" s="2" t="s">
        <v>432</v>
      </c>
      <c r="E593" s="75"/>
      <c r="F593" s="102">
        <v>2722</v>
      </c>
      <c r="G593" s="103" t="s">
        <v>97</v>
      </c>
      <c r="H593" s="18">
        <f>375274.64+11169.06+5889.78+7168.76+3780.3</f>
        <v>403282.54000000004</v>
      </c>
      <c r="I593" s="18">
        <f>130197.32+3874.98+2043.39+2487.12+1311.53</f>
        <v>139914.34000000003</v>
      </c>
      <c r="J593" s="18">
        <f>260394.65+7749.96+4086.79+4974.24+2623.07</f>
        <v>279828.70999999996</v>
      </c>
      <c r="K593" s="104">
        <f t="shared" si="48"/>
        <v>823025.59000000008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16566.5</v>
      </c>
      <c r="J595" s="18">
        <v>82857.94</v>
      </c>
      <c r="K595" s="104">
        <f t="shared" si="48"/>
        <v>99424.44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v>4500</v>
      </c>
      <c r="J596" s="18">
        <v>9484</v>
      </c>
      <c r="K596" s="104">
        <f t="shared" si="48"/>
        <v>13984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1272091.92</v>
      </c>
      <c r="I599" s="108">
        <f>SUM(I592:I598)</f>
        <v>462404.51</v>
      </c>
      <c r="J599" s="108">
        <f>SUM(J592:J598)</f>
        <v>975017.96</v>
      </c>
      <c r="K599" s="108">
        <f>SUM(K592:K598)</f>
        <v>2709514.39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25025.17+149586.04</f>
        <v>174611.21000000002</v>
      </c>
      <c r="I605" s="18">
        <f>4651.16+50051.12</f>
        <v>54702.28</v>
      </c>
      <c r="J605" s="18">
        <f>26342.73+144552.9</f>
        <v>170895.63</v>
      </c>
      <c r="K605" s="104">
        <f>SUM(H605:J605)</f>
        <v>400209.12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174611.21000000002</v>
      </c>
      <c r="I606" s="108">
        <f>SUM(I603:I605)</f>
        <v>54702.28</v>
      </c>
      <c r="J606" s="108">
        <f>SUM(J603:J605)</f>
        <v>170895.63</v>
      </c>
      <c r="K606" s="108">
        <f>SUM(K603:K605)</f>
        <v>400209.12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2178.56</v>
      </c>
      <c r="G612" s="18"/>
      <c r="H612" s="18"/>
      <c r="I612" s="18"/>
      <c r="J612" s="18"/>
      <c r="K612" s="18"/>
      <c r="L612" s="88">
        <f>SUM(F612:K612)</f>
        <v>2178.56</v>
      </c>
      <c r="M612" s="8"/>
      <c r="N612" s="266"/>
    </row>
    <row r="613" spans="1:14" s="3" customFormat="1" ht="12.2" customHeight="1" x14ac:dyDescent="0.15">
      <c r="A613" s="22" t="s">
        <v>634</v>
      </c>
      <c r="B613" s="75">
        <v>23</v>
      </c>
      <c r="C613" s="75">
        <v>14</v>
      </c>
      <c r="D613" s="2" t="s">
        <v>432</v>
      </c>
      <c r="E613" s="75"/>
      <c r="F613" s="18">
        <v>755.83</v>
      </c>
      <c r="G613" s="18"/>
      <c r="H613" s="18"/>
      <c r="I613" s="18"/>
      <c r="J613" s="18"/>
      <c r="K613" s="18"/>
      <c r="L613" s="88">
        <f>SUM(F613:K613)</f>
        <v>755.83</v>
      </c>
      <c r="M613" s="8"/>
      <c r="N613" s="266"/>
    </row>
    <row r="614" spans="1:14" s="3" customFormat="1" ht="12.2" customHeight="1" thickBot="1" x14ac:dyDescent="0.2">
      <c r="A614" s="22" t="s">
        <v>645</v>
      </c>
      <c r="B614" s="75">
        <v>23</v>
      </c>
      <c r="C614" s="75">
        <v>15</v>
      </c>
      <c r="D614" s="2" t="s">
        <v>432</v>
      </c>
      <c r="E614" s="75"/>
      <c r="F614" s="18">
        <f>1511.66+71465.8</f>
        <v>72977.460000000006</v>
      </c>
      <c r="G614" s="18"/>
      <c r="H614" s="18"/>
      <c r="I614" s="18"/>
      <c r="J614" s="18"/>
      <c r="K614" s="18"/>
      <c r="L614" s="88">
        <f>SUM(F614:K614)</f>
        <v>72977.460000000006</v>
      </c>
      <c r="M614" s="8"/>
      <c r="N614" s="266"/>
    </row>
    <row r="615" spans="1:14" s="3" customFormat="1" ht="12.2" customHeight="1" thickTop="1" x14ac:dyDescent="0.15">
      <c r="A615" s="98" t="s">
        <v>340</v>
      </c>
      <c r="B615" s="107">
        <v>23</v>
      </c>
      <c r="C615" s="107">
        <v>16</v>
      </c>
      <c r="D615" s="39" t="s">
        <v>432</v>
      </c>
      <c r="E615" s="107"/>
      <c r="F615" s="108">
        <f t="shared" ref="F615:L615" si="49">SUM(F612:F614)</f>
        <v>75911.850000000006</v>
      </c>
      <c r="G615" s="108">
        <f t="shared" si="49"/>
        <v>0</v>
      </c>
      <c r="H615" s="108">
        <f t="shared" si="49"/>
        <v>0</v>
      </c>
      <c r="I615" s="108">
        <f t="shared" si="49"/>
        <v>0</v>
      </c>
      <c r="J615" s="108">
        <f t="shared" si="49"/>
        <v>0</v>
      </c>
      <c r="K615" s="108">
        <f t="shared" si="49"/>
        <v>0</v>
      </c>
      <c r="L615" s="89">
        <f t="shared" si="49"/>
        <v>75911.850000000006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7591787.7700000014</v>
      </c>
      <c r="H618" s="109">
        <f>SUM(F52)</f>
        <v>7591787.7700000005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391627.69</v>
      </c>
      <c r="H619" s="109">
        <f>SUM(G52)</f>
        <v>391627.68999999994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532614.53</v>
      </c>
      <c r="H620" s="109">
        <f>SUM(H52)</f>
        <v>532614.53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4153789.97</v>
      </c>
      <c r="H623" s="109">
        <f>F477</f>
        <v>4153789.9699999988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214313.3</v>
      </c>
      <c r="H624" s="109">
        <f>G477</f>
        <v>214313.30000000005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67796924.450000003</v>
      </c>
      <c r="H628" s="104">
        <f>SUM(F469)</f>
        <v>67796924.450000003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1344803.76</v>
      </c>
      <c r="H629" s="104">
        <f>SUM(G469)</f>
        <v>1344803.76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1139961.98</v>
      </c>
      <c r="H630" s="104">
        <f>SUM(H469)</f>
        <v>1139961.98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67762892.739999995</v>
      </c>
      <c r="H633" s="104">
        <f>SUM(F473)</f>
        <v>67762892.74000001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1139961.98</v>
      </c>
      <c r="H634" s="104">
        <f>SUM(H473)</f>
        <v>1139961.98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736016.74</v>
      </c>
      <c r="H635" s="104">
        <f>I370</f>
        <v>736016.74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1564929.46</v>
      </c>
      <c r="H636" s="104">
        <f>SUM(G473)</f>
        <v>1564929.46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2709514.39</v>
      </c>
      <c r="H648" s="104">
        <f>L209+L227+L245</f>
        <v>2709514.39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400209.12</v>
      </c>
      <c r="H649" s="104">
        <f>(J258+J339)-(J256+J337)</f>
        <v>400209.12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1272091.92</v>
      </c>
      <c r="H650" s="104">
        <f>H599</f>
        <v>1272091.92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462404.51</v>
      </c>
      <c r="H651" s="104">
        <f>I599</f>
        <v>462404.51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975017.96000000008</v>
      </c>
      <c r="H652" s="104">
        <f>J599</f>
        <v>975017.96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32419261.640000008</v>
      </c>
      <c r="G661" s="19">
        <f>(L230+L310+L360)</f>
        <v>11330669.200000001</v>
      </c>
      <c r="H661" s="19">
        <f>(L248+L329+L361)</f>
        <v>23802925</v>
      </c>
      <c r="I661" s="19">
        <f>SUM(F661:H661)</f>
        <v>67552855.840000004</v>
      </c>
      <c r="J661" s="13"/>
      <c r="K661" s="13"/>
      <c r="L661" s="13"/>
      <c r="M661" s="9"/>
    </row>
    <row r="662" spans="1:13" s="3" customFormat="1" ht="12.2" customHeight="1" x14ac:dyDescent="0.2">
      <c r="A662" s="1" t="s">
        <v>127</v>
      </c>
      <c r="F662" s="19">
        <f>(L359/IF(SUM(L359:L361)=0,1,SUM(L359:L361))*(SUM(G97:G110)))</f>
        <v>494648.22124702029</v>
      </c>
      <c r="G662" s="19">
        <f>(L360/IF(SUM(L359:L361)=0,1,SUM(L359:L361))*(SUM(G97:G110)))</f>
        <v>209781.19007908259</v>
      </c>
      <c r="H662" s="19">
        <f>(L361/IF(SUM(L359:L361)=0,1,SUM(L359:L361))*(SUM(G97:G110)))</f>
        <v>423142.18867389724</v>
      </c>
      <c r="I662" s="19">
        <f>SUM(F662:H662)</f>
        <v>1127571.6000000001</v>
      </c>
      <c r="J662"/>
      <c r="K662" s="13"/>
      <c r="L662" s="13"/>
      <c r="M662" s="8"/>
    </row>
    <row r="663" spans="1:13" s="3" customFormat="1" ht="12.2" customHeight="1" x14ac:dyDescent="0.2">
      <c r="A663" s="1" t="s">
        <v>128</v>
      </c>
      <c r="F663" s="19">
        <f>(L209+L288)-(J209+J288)</f>
        <v>1272091.92</v>
      </c>
      <c r="G663" s="19">
        <f>(L227+L307)-(J227+J307)</f>
        <v>462404.51</v>
      </c>
      <c r="H663" s="19">
        <f>(L245+L326)-(J245+J326)</f>
        <v>975017.96000000008</v>
      </c>
      <c r="I663" s="19">
        <f>SUM(F663:H663)</f>
        <v>2709514.39</v>
      </c>
      <c r="J663"/>
      <c r="K663" s="13"/>
      <c r="L663" s="13"/>
      <c r="M663" s="9"/>
    </row>
    <row r="664" spans="1:13" s="3" customFormat="1" ht="12.2" customHeight="1" x14ac:dyDescent="0.15">
      <c r="A664" s="198" t="s">
        <v>129</v>
      </c>
      <c r="B664" s="169"/>
      <c r="C664" s="169"/>
      <c r="D664" s="169"/>
      <c r="E664" s="169"/>
      <c r="F664" s="199">
        <f>SUM(F576:F588)+SUM(H603:H605)+SUM(L612)</f>
        <v>627277.07000000007</v>
      </c>
      <c r="G664" s="199">
        <f>SUM(G576:G588)+SUM(I603:I605)+L613</f>
        <v>199958.13999999998</v>
      </c>
      <c r="H664" s="199">
        <f>SUM(H576:H588)+SUM(J603:J605)+L614</f>
        <v>1753694.13</v>
      </c>
      <c r="I664" s="19">
        <f>SUM(F664:H664)</f>
        <v>2580929.34</v>
      </c>
      <c r="J664" s="13"/>
      <c r="K664" s="13"/>
      <c r="L664" s="13"/>
      <c r="M664" s="9"/>
    </row>
    <row r="665" spans="1:13" s="3" customFormat="1" ht="12.2" customHeight="1" x14ac:dyDescent="0.15">
      <c r="A665" s="1" t="s">
        <v>130</v>
      </c>
      <c r="F665" s="19">
        <f>F661-SUM(F662:F664)</f>
        <v>30025244.428752989</v>
      </c>
      <c r="G665" s="19">
        <f>G661-SUM(G662:G664)</f>
        <v>10458525.359920919</v>
      </c>
      <c r="H665" s="19">
        <f>H661-SUM(H662:H664)</f>
        <v>20651070.721326102</v>
      </c>
      <c r="I665" s="19">
        <f>I661-SUM(I662:I664)</f>
        <v>61134840.510000005</v>
      </c>
      <c r="J665" s="13"/>
      <c r="K665" s="13"/>
      <c r="L665" s="13"/>
      <c r="M665" s="8"/>
    </row>
    <row r="666" spans="1:13" s="3" customFormat="1" ht="12.2" customHeight="1" x14ac:dyDescent="0.2">
      <c r="A666" s="1" t="s">
        <v>131</v>
      </c>
      <c r="F666" s="246">
        <f>26.42+93.03+1951.43</f>
        <v>2070.88</v>
      </c>
      <c r="G666" s="247">
        <v>747.01</v>
      </c>
      <c r="H666" s="247">
        <v>1485.94</v>
      </c>
      <c r="I666" s="19">
        <f>SUM(F666:H666)</f>
        <v>4303.83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14498.79</v>
      </c>
      <c r="G668" s="19">
        <f>ROUND(G665/G666,2)</f>
        <v>14000.52</v>
      </c>
      <c r="H668" s="19">
        <f>ROUND(H665/H666,2)</f>
        <v>13897.65</v>
      </c>
      <c r="I668" s="19">
        <f>ROUND(I665/I666,2)</f>
        <v>14204.75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-18.11</v>
      </c>
      <c r="I671" s="19">
        <f>SUM(F671:H671)</f>
        <v>-18.11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14498.79</v>
      </c>
      <c r="G673" s="19">
        <f>ROUND((G665+G670)/(G666+G671),2)</f>
        <v>14000.52</v>
      </c>
      <c r="H673" s="19">
        <f>ROUND((H665+H670)/(H666+H671),2)</f>
        <v>14069.12</v>
      </c>
      <c r="I673" s="19">
        <f>ROUND((I665+I670)/(I666+I671),2)</f>
        <v>14264.78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I36"/>
  <sheetViews>
    <sheetView topLeftCell="A19"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7" t="s">
        <v>1590</v>
      </c>
      <c r="B1" s="347"/>
      <c r="C1" s="347"/>
      <c r="D1" s="347"/>
      <c r="E1" s="347"/>
      <c r="F1" s="347"/>
      <c r="G1" s="347"/>
      <c r="H1" s="347"/>
    </row>
    <row r="2" spans="1:9" ht="15" x14ac:dyDescent="0.2">
      <c r="A2" s="347" t="s">
        <v>1586</v>
      </c>
      <c r="B2" s="347"/>
      <c r="C2" s="347"/>
      <c r="D2" s="347"/>
      <c r="E2" s="347"/>
      <c r="F2" s="347"/>
      <c r="G2" s="347"/>
      <c r="H2" s="347"/>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8" t="str">
        <f>'DOE25'!A2</f>
        <v>Bedford School District</v>
      </c>
      <c r="C5" s="349"/>
      <c r="D5" s="349"/>
      <c r="E5" s="349"/>
      <c r="F5" s="349"/>
    </row>
    <row r="8" spans="1:9" ht="18" x14ac:dyDescent="0.25">
      <c r="A8" s="323" t="s">
        <v>1591</v>
      </c>
      <c r="F8" s="330" t="s">
        <v>1609</v>
      </c>
    </row>
    <row r="9" spans="1:9" ht="15" x14ac:dyDescent="0.2">
      <c r="A9" s="321" t="s">
        <v>1592</v>
      </c>
      <c r="B9" s="324">
        <f>'DOE25'!G97</f>
        <v>1126941.6000000001</v>
      </c>
      <c r="F9" s="321" t="s">
        <v>1605</v>
      </c>
    </row>
    <row r="10" spans="1:9" ht="15" x14ac:dyDescent="0.2">
      <c r="A10" s="321" t="s">
        <v>1593</v>
      </c>
      <c r="B10" s="324">
        <f>'DOE25'!G112-'DOE25'!G97</f>
        <v>630</v>
      </c>
      <c r="F10" s="321" t="s">
        <v>1606</v>
      </c>
    </row>
    <row r="11" spans="1:9" ht="15" x14ac:dyDescent="0.2">
      <c r="A11" s="321" t="s">
        <v>1594</v>
      </c>
      <c r="B11" s="324">
        <f>'DOE25'!G140</f>
        <v>22579.24</v>
      </c>
      <c r="F11" s="321" t="s">
        <v>1607</v>
      </c>
    </row>
    <row r="12" spans="1:9" ht="15" x14ac:dyDescent="0.2">
      <c r="A12" s="321" t="s">
        <v>1595</v>
      </c>
      <c r="B12" s="324">
        <f>'DOE25'!G170</f>
        <v>194652.92</v>
      </c>
      <c r="F12" s="321" t="s">
        <v>1608</v>
      </c>
    </row>
    <row r="13" spans="1:9" ht="15" x14ac:dyDescent="0.2">
      <c r="A13" s="321" t="s">
        <v>1596</v>
      </c>
      <c r="B13" s="324">
        <f>'DOE25'!G193-'DOE25'!G180</f>
        <v>0</v>
      </c>
      <c r="F13" s="321" t="s">
        <v>1618</v>
      </c>
    </row>
    <row r="14" spans="1:9" ht="18" x14ac:dyDescent="0.25">
      <c r="A14" s="323" t="s">
        <v>732</v>
      </c>
      <c r="B14" s="325">
        <f>SUM(B9:B13)</f>
        <v>1344803.76</v>
      </c>
    </row>
    <row r="16" spans="1:9" ht="18" x14ac:dyDescent="0.25">
      <c r="A16" s="323" t="s">
        <v>786</v>
      </c>
      <c r="F16" s="330" t="s">
        <v>1610</v>
      </c>
    </row>
    <row r="17" spans="1:6" ht="15" x14ac:dyDescent="0.2">
      <c r="A17" s="321" t="s">
        <v>1597</v>
      </c>
      <c r="B17" s="324">
        <f>'DOE25'!L363-'DOE25'!L362</f>
        <v>1564929.46</v>
      </c>
      <c r="F17" s="321" t="s">
        <v>1611</v>
      </c>
    </row>
    <row r="18" spans="1:6" ht="15" x14ac:dyDescent="0.2">
      <c r="A18" s="321" t="s">
        <v>1598</v>
      </c>
      <c r="B18" s="338">
        <v>-1934</v>
      </c>
      <c r="F18" s="330" t="s">
        <v>1637</v>
      </c>
    </row>
    <row r="19" spans="1:6" ht="18" x14ac:dyDescent="0.25">
      <c r="A19" s="323" t="s">
        <v>725</v>
      </c>
      <c r="B19" s="325">
        <f>SUM(B17:B18)</f>
        <v>1562995.46</v>
      </c>
    </row>
    <row r="21" spans="1:6" ht="18.75" thickBot="1" x14ac:dyDescent="0.3">
      <c r="A21" s="323" t="s">
        <v>1599</v>
      </c>
    </row>
    <row r="22" spans="1:6" ht="18.75" thickTop="1" x14ac:dyDescent="0.25">
      <c r="A22" s="323" t="s">
        <v>1600</v>
      </c>
      <c r="B22" s="329">
        <f>B14-B19</f>
        <v>-218191.69999999995</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432505</v>
      </c>
      <c r="F31" s="321" t="s">
        <v>1615</v>
      </c>
    </row>
    <row r="33" spans="1:6" ht="15" x14ac:dyDescent="0.2">
      <c r="A33" s="321" t="s">
        <v>1641</v>
      </c>
      <c r="B33" s="324">
        <f>'DOE25'!G477</f>
        <v>214313.30000000005</v>
      </c>
      <c r="F33" s="321" t="s">
        <v>1616</v>
      </c>
    </row>
    <row r="36" spans="1:6" ht="15" x14ac:dyDescent="0.2">
      <c r="A36" s="321" t="s">
        <v>1602</v>
      </c>
      <c r="B36" s="341">
        <v>103313.61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20"/>
  </sheetPr>
  <dimension ref="A1:C52"/>
  <sheetViews>
    <sheetView topLeftCell="A13"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Bedford School District</v>
      </c>
      <c r="C1" s="238" t="s">
        <v>824</v>
      </c>
    </row>
    <row r="2" spans="1:3" x14ac:dyDescent="0.2">
      <c r="A2" s="233"/>
      <c r="B2" s="232"/>
    </row>
    <row r="3" spans="1:3" x14ac:dyDescent="0.2">
      <c r="A3" s="353" t="s">
        <v>780</v>
      </c>
      <c r="B3" s="353"/>
      <c r="C3" s="353"/>
    </row>
    <row r="4" spans="1:3" x14ac:dyDescent="0.2">
      <c r="A4" s="236"/>
      <c r="B4" s="237" t="str">
        <f>'DOE25'!H1</f>
        <v>DOE 25  2019-2020</v>
      </c>
      <c r="C4" s="236"/>
    </row>
    <row r="5" spans="1:3" x14ac:dyDescent="0.2">
      <c r="A5" s="233"/>
      <c r="B5" s="232"/>
    </row>
    <row r="6" spans="1:3" x14ac:dyDescent="0.2">
      <c r="A6" s="227"/>
      <c r="B6" s="352" t="s">
        <v>779</v>
      </c>
      <c r="C6" s="352"/>
    </row>
    <row r="7" spans="1:3" x14ac:dyDescent="0.2">
      <c r="A7" s="239" t="s">
        <v>782</v>
      </c>
      <c r="B7" s="350" t="s">
        <v>778</v>
      </c>
      <c r="C7" s="351"/>
    </row>
    <row r="8" spans="1:3" x14ac:dyDescent="0.2">
      <c r="B8" s="228" t="s">
        <v>54</v>
      </c>
      <c r="C8" s="228" t="s">
        <v>772</v>
      </c>
    </row>
    <row r="9" spans="1:3" x14ac:dyDescent="0.2">
      <c r="A9" s="33" t="s">
        <v>773</v>
      </c>
      <c r="B9" s="229">
        <f>'DOE25'!F198+'DOE25'!F216+'DOE25'!F234+'DOE25'!F277+'DOE25'!F296+'DOE25'!F315</f>
        <v>19655388.039999999</v>
      </c>
      <c r="C9" s="229">
        <f>'DOE25'!G198+'DOE25'!G216+'DOE25'!G234+'DOE25'!G277+'DOE25'!G296+'DOE25'!G315</f>
        <v>9896530.1099999994</v>
      </c>
    </row>
    <row r="10" spans="1:3" x14ac:dyDescent="0.2">
      <c r="A10" t="s">
        <v>775</v>
      </c>
      <c r="B10" s="240">
        <f>1565615.15+3710.3-0.6+17240589.32</f>
        <v>18809914.170000002</v>
      </c>
      <c r="C10" s="240">
        <f>405188.89+9111251.03</f>
        <v>9516439.9199999999</v>
      </c>
    </row>
    <row r="11" spans="1:3" x14ac:dyDescent="0.2">
      <c r="A11" t="s">
        <v>776</v>
      </c>
      <c r="B11" s="240">
        <v>497416.37</v>
      </c>
      <c r="C11" s="240">
        <v>262302.46000000002</v>
      </c>
    </row>
    <row r="12" spans="1:3" x14ac:dyDescent="0.2">
      <c r="A12" t="s">
        <v>777</v>
      </c>
      <c r="B12" s="240">
        <f>102610.3+245447.2</f>
        <v>348057.5</v>
      </c>
      <c r="C12" s="240">
        <f>8130.98+109656.75</f>
        <v>117787.73</v>
      </c>
    </row>
    <row r="13" spans="1:3" x14ac:dyDescent="0.2">
      <c r="A13" t="str">
        <f>IF(B9=B13,IF(C9=C13,"Check Total OK","Check Total Error"),"Check Total Error")</f>
        <v>Check Total OK</v>
      </c>
      <c r="B13" s="231">
        <f>SUM(B10:B12)</f>
        <v>19655388.040000003</v>
      </c>
      <c r="C13" s="231">
        <f>SUM(C10:C12)</f>
        <v>9896530.1100000013</v>
      </c>
    </row>
    <row r="14" spans="1:3" x14ac:dyDescent="0.2">
      <c r="B14" s="230"/>
      <c r="C14" s="230"/>
    </row>
    <row r="15" spans="1:3" x14ac:dyDescent="0.2">
      <c r="B15" s="352" t="s">
        <v>779</v>
      </c>
      <c r="C15" s="352"/>
    </row>
    <row r="16" spans="1:3" x14ac:dyDescent="0.2">
      <c r="A16" s="239" t="s">
        <v>783</v>
      </c>
      <c r="B16" s="350" t="s">
        <v>703</v>
      </c>
      <c r="C16" s="351"/>
    </row>
    <row r="17" spans="1:3" x14ac:dyDescent="0.2">
      <c r="B17" s="228" t="s">
        <v>54</v>
      </c>
      <c r="C17" s="228" t="s">
        <v>772</v>
      </c>
    </row>
    <row r="18" spans="1:3" x14ac:dyDescent="0.2">
      <c r="A18" s="33" t="s">
        <v>773</v>
      </c>
      <c r="B18" s="229">
        <f>'DOE25'!F199+'DOE25'!F217+'DOE25'!F235+'DOE25'!F278+'DOE25'!F297+'DOE25'!F316</f>
        <v>7525843.8800000008</v>
      </c>
      <c r="C18" s="229">
        <f>'DOE25'!G199+'DOE25'!G217+'DOE25'!G235+'DOE25'!G278+'DOE25'!G297+'DOE25'!G316</f>
        <v>3608451.79</v>
      </c>
    </row>
    <row r="19" spans="1:3" x14ac:dyDescent="0.2">
      <c r="A19" t="s">
        <v>775</v>
      </c>
      <c r="B19" s="240">
        <f>803007.74+3717162.81</f>
        <v>4520170.55</v>
      </c>
      <c r="C19" s="240">
        <f>84058.26+1960170.65</f>
        <v>2044228.91</v>
      </c>
    </row>
    <row r="20" spans="1:3" x14ac:dyDescent="0.2">
      <c r="A20" t="s">
        <v>776</v>
      </c>
      <c r="B20" s="240">
        <f>39364.68+2827386.34</f>
        <v>2866751.02</v>
      </c>
      <c r="C20" s="240">
        <v>1490965.01</v>
      </c>
    </row>
    <row r="21" spans="1:3" x14ac:dyDescent="0.2">
      <c r="A21" t="s">
        <v>777</v>
      </c>
      <c r="B21" s="240">
        <v>138922.31</v>
      </c>
      <c r="C21" s="240">
        <v>73257.87</v>
      </c>
    </row>
    <row r="22" spans="1:3" x14ac:dyDescent="0.2">
      <c r="A22" t="str">
        <f>IF(B18=B22,IF(C18=C22,"Check Total OK","Check Total Error"),"Check Total Error")</f>
        <v>Check Total OK</v>
      </c>
      <c r="B22" s="231">
        <f>SUM(B19:B21)</f>
        <v>7525843.8799999999</v>
      </c>
      <c r="C22" s="231">
        <f>SUM(C19:C21)</f>
        <v>3608451.79</v>
      </c>
    </row>
    <row r="23" spans="1:3" x14ac:dyDescent="0.2">
      <c r="B23" s="230"/>
      <c r="C23" s="230"/>
    </row>
    <row r="24" spans="1:3" x14ac:dyDescent="0.2">
      <c r="B24" s="352" t="s">
        <v>779</v>
      </c>
      <c r="C24" s="352"/>
    </row>
    <row r="25" spans="1:3" x14ac:dyDescent="0.2">
      <c r="A25" s="239" t="s">
        <v>784</v>
      </c>
      <c r="B25" s="350" t="s">
        <v>704</v>
      </c>
      <c r="C25" s="351"/>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52" t="s">
        <v>779</v>
      </c>
      <c r="C33" s="352"/>
    </row>
    <row r="34" spans="1:3" x14ac:dyDescent="0.2">
      <c r="A34" s="239" t="s">
        <v>785</v>
      </c>
      <c r="B34" s="350" t="s">
        <v>705</v>
      </c>
      <c r="C34" s="351"/>
    </row>
    <row r="35" spans="1:3" x14ac:dyDescent="0.2">
      <c r="B35" s="228" t="s">
        <v>54</v>
      </c>
      <c r="C35" s="228" t="s">
        <v>772</v>
      </c>
    </row>
    <row r="36" spans="1:3" x14ac:dyDescent="0.2">
      <c r="A36" s="33" t="s">
        <v>773</v>
      </c>
      <c r="B36" s="235">
        <f>'DOE25'!F201+'DOE25'!F219+'DOE25'!F237+'DOE25'!F280+'DOE25'!F299+'DOE25'!F318</f>
        <v>691688</v>
      </c>
      <c r="C36" s="235">
        <f>'DOE25'!G201+'DOE25'!G219+'DOE25'!G237+'DOE25'!G280+'DOE25'!G299+'DOE25'!G318</f>
        <v>364747.68</v>
      </c>
    </row>
    <row r="37" spans="1:3" x14ac:dyDescent="0.2">
      <c r="A37" t="s">
        <v>775</v>
      </c>
      <c r="B37" s="240">
        <f>590170.33-8</f>
        <v>590162.32999999996</v>
      </c>
      <c r="C37" s="240">
        <v>311210.17</v>
      </c>
    </row>
    <row r="38" spans="1:3" x14ac:dyDescent="0.2">
      <c r="A38" t="s">
        <v>776</v>
      </c>
      <c r="B38" s="240"/>
      <c r="C38" s="240"/>
    </row>
    <row r="39" spans="1:3" x14ac:dyDescent="0.2">
      <c r="A39" t="s">
        <v>777</v>
      </c>
      <c r="B39" s="240">
        <v>101525.67</v>
      </c>
      <c r="C39" s="240">
        <v>53537.51</v>
      </c>
    </row>
    <row r="40" spans="1:3" x14ac:dyDescent="0.2">
      <c r="A40" t="str">
        <f>IF(B36=B40,IF(C36=C40,"Check Total OK","Check Total Error"),"Check Total Error")</f>
        <v>Check Total OK</v>
      </c>
      <c r="B40" s="231">
        <f>SUM(B37:B39)</f>
        <v>691688</v>
      </c>
      <c r="C40" s="231">
        <f>SUM(C37:C39)</f>
        <v>364747.68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1"/>
    <pageSetUpPr fitToPage="1"/>
  </sheetPr>
  <dimension ref="A1:I53"/>
  <sheetViews>
    <sheetView zoomScale="90" zoomScaleNormal="90" workbookViewId="0">
      <pane ySplit="4" topLeftCell="A5" activePane="bottomLeft" state="frozen"/>
      <selection activeCell="F46" sqref="F46"/>
      <selection pane="bottomLeft" activeCell="D14" sqref="D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52" t="s">
        <v>894</v>
      </c>
      <c r="B1" s="356"/>
      <c r="C1" s="356"/>
      <c r="D1" s="356"/>
      <c r="E1" s="356"/>
      <c r="F1" s="356"/>
      <c r="G1" s="356"/>
      <c r="H1" s="356"/>
      <c r="I1" s="181"/>
    </row>
    <row r="2" spans="1:9" x14ac:dyDescent="0.2">
      <c r="A2" s="33" t="s">
        <v>713</v>
      </c>
      <c r="B2" s="260" t="str">
        <f>'DOE25'!A2</f>
        <v>Bedford School District</v>
      </c>
      <c r="C2" s="278"/>
      <c r="D2" s="181" t="s">
        <v>787</v>
      </c>
      <c r="E2" s="181" t="s">
        <v>789</v>
      </c>
      <c r="F2" s="354" t="s">
        <v>893</v>
      </c>
      <c r="G2" s="355"/>
      <c r="H2" s="355"/>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44470149.319999993</v>
      </c>
      <c r="D5" s="20">
        <f>SUM('DOE25'!L198:L201)+SUM('DOE25'!L216:L219)+SUM('DOE25'!L234:L237)-F5-G5-H5</f>
        <v>44309794</v>
      </c>
      <c r="E5" s="243"/>
      <c r="F5" s="244"/>
      <c r="G5" s="53">
        <f>SUM('DOE25'!J198:J201)+SUM('DOE25'!J216:J219)+SUM('DOE25'!J234:J237)</f>
        <v>76442.91</v>
      </c>
      <c r="H5" s="53">
        <f>SUM('DOE25'!K198:K201)+SUM('DOE25'!K216:K219)+SUM('DOE25'!K234:K237)</f>
        <v>83912.409999999989</v>
      </c>
      <c r="I5" s="256"/>
    </row>
    <row r="6" spans="1:9" x14ac:dyDescent="0.2">
      <c r="A6" s="32">
        <v>2100</v>
      </c>
      <c r="B6" t="s">
        <v>796</v>
      </c>
      <c r="C6" s="276">
        <f t="shared" si="0"/>
        <v>4268240.6500000004</v>
      </c>
      <c r="D6" s="20">
        <f>'DOE25'!L203+'DOE25'!L221+'DOE25'!L239-F6-G6-H6</f>
        <v>4268240.6500000004</v>
      </c>
      <c r="E6" s="243"/>
      <c r="F6" s="244"/>
      <c r="G6" s="53">
        <f>'DOE25'!J203+'DOE25'!J221+'DOE25'!J239</f>
        <v>0</v>
      </c>
      <c r="H6" s="53">
        <f>'DOE25'!K203+'DOE25'!K221+'DOE25'!K239</f>
        <v>0</v>
      </c>
      <c r="I6" s="256"/>
    </row>
    <row r="7" spans="1:9" x14ac:dyDescent="0.2">
      <c r="A7" s="32">
        <v>2200</v>
      </c>
      <c r="B7" t="s">
        <v>821</v>
      </c>
      <c r="C7" s="276">
        <f t="shared" si="0"/>
        <v>1573121.8</v>
      </c>
      <c r="D7" s="20">
        <f>'DOE25'!L204+'DOE25'!L222+'DOE25'!L240-F7-G7-H7</f>
        <v>1313814.1900000002</v>
      </c>
      <c r="E7" s="243"/>
      <c r="F7" s="244"/>
      <c r="G7" s="53">
        <f>'DOE25'!J204+'DOE25'!J222+'DOE25'!J240</f>
        <v>220950.09999999998</v>
      </c>
      <c r="H7" s="53">
        <f>'DOE25'!K204+'DOE25'!K222+'DOE25'!K240</f>
        <v>38357.509999999995</v>
      </c>
      <c r="I7" s="256"/>
    </row>
    <row r="8" spans="1:9" x14ac:dyDescent="0.2">
      <c r="A8" s="32">
        <v>2300</v>
      </c>
      <c r="B8" t="s">
        <v>797</v>
      </c>
      <c r="C8" s="276">
        <f t="shared" si="0"/>
        <v>1532622.1700000002</v>
      </c>
      <c r="D8" s="243"/>
      <c r="E8" s="20">
        <f>'DOE25'!L205+'DOE25'!L223+'DOE25'!L241-F8-G8-H8-D9-D11</f>
        <v>1483565.8</v>
      </c>
      <c r="F8" s="244"/>
      <c r="G8" s="53">
        <f>'DOE25'!J205+'DOE25'!J223+'DOE25'!J241</f>
        <v>18413.57</v>
      </c>
      <c r="H8" s="53">
        <f>'DOE25'!K205+'DOE25'!K223+'DOE25'!K241</f>
        <v>30642.799999999999</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5020158.3</v>
      </c>
      <c r="D12" s="20">
        <f>'DOE25'!L206+'DOE25'!L224+'DOE25'!L242-F12-G12-H12</f>
        <v>4949043.6099999994</v>
      </c>
      <c r="E12" s="243"/>
      <c r="F12" s="244"/>
      <c r="G12" s="53">
        <f>'DOE25'!J206+'DOE25'!J224+'DOE25'!J242</f>
        <v>0</v>
      </c>
      <c r="H12" s="53">
        <f>'DOE25'!K206+'DOE25'!K224+'DOE25'!K242</f>
        <v>71114.69</v>
      </c>
      <c r="I12" s="256"/>
    </row>
    <row r="13" spans="1:9" x14ac:dyDescent="0.2">
      <c r="A13" s="32">
        <v>2500</v>
      </c>
      <c r="B13" t="s">
        <v>798</v>
      </c>
      <c r="C13" s="276">
        <f t="shared" si="0"/>
        <v>674895</v>
      </c>
      <c r="D13" s="243"/>
      <c r="E13" s="20">
        <f>'DOE25'!L207+'DOE25'!L225+'DOE25'!L243-F13-G13-H13</f>
        <v>671232.92</v>
      </c>
      <c r="F13" s="244"/>
      <c r="G13" s="53">
        <f>'DOE25'!J207+'DOE25'!J225+'DOE25'!J243</f>
        <v>0</v>
      </c>
      <c r="H13" s="53">
        <f>'DOE25'!K207+'DOE25'!K225+'DOE25'!K243</f>
        <v>3662.08</v>
      </c>
      <c r="I13" s="256"/>
    </row>
    <row r="14" spans="1:9" x14ac:dyDescent="0.2">
      <c r="A14" s="32">
        <v>2600</v>
      </c>
      <c r="B14" t="s">
        <v>819</v>
      </c>
      <c r="C14" s="276" t="e">
        <f t="shared" si="0"/>
        <v>#VALUE!</v>
      </c>
      <c r="D14" s="20" t="e">
        <f>'DOE25'!L208+'DOE25'!L226+'DOE25'!L244-F14-G14-H14</f>
        <v>#VALUE!</v>
      </c>
      <c r="E14" s="243"/>
      <c r="F14" s="342" t="s">
        <v>286</v>
      </c>
      <c r="G14" s="53">
        <f>'DOE25'!J208+'DOE25'!J226+'DOE25'!J244</f>
        <v>28383.479999999996</v>
      </c>
      <c r="H14" s="53">
        <f>'DOE25'!K208+'DOE25'!K226+'DOE25'!K244</f>
        <v>1226.45</v>
      </c>
      <c r="I14" s="256"/>
    </row>
    <row r="15" spans="1:9" x14ac:dyDescent="0.2">
      <c r="A15" s="32">
        <v>2700</v>
      </c>
      <c r="B15" t="s">
        <v>799</v>
      </c>
      <c r="C15" s="276" t="e">
        <f t="shared" si="0"/>
        <v>#VALUE!</v>
      </c>
      <c r="D15" s="20" t="e">
        <f>'DOE25'!L209+'DOE25'!L227+'DOE25'!L245-F15-G15-H15</f>
        <v>#VALUE!</v>
      </c>
      <c r="E15" s="243"/>
      <c r="F15" s="244"/>
      <c r="G15" s="53" t="e">
        <f>'DOE25'!J209+'DOE25'!J227+'DOE25'!J245</f>
        <v>#VALUE!</v>
      </c>
      <c r="H15" s="53">
        <f>'DOE25'!K209+'DOE25'!K227+'DOE25'!K245</f>
        <v>0</v>
      </c>
      <c r="I15" s="256"/>
    </row>
    <row r="16" spans="1:9" x14ac:dyDescent="0.2">
      <c r="A16" s="32">
        <v>2800</v>
      </c>
      <c r="B16" t="s">
        <v>800</v>
      </c>
      <c r="C16" s="276" t="e">
        <f t="shared" si="0"/>
        <v>#VALUE!</v>
      </c>
      <c r="D16" s="243"/>
      <c r="E16" s="20" t="e">
        <f>'DOE25'!L210+'DOE25'!L228+'DOE25'!L246-F16-G16-H16</f>
        <v>#VALUE!</v>
      </c>
      <c r="F16" s="244"/>
      <c r="G16" s="53" t="e">
        <f>'DOE25'!J210+'DOE25'!J228+'DOE25'!J246</f>
        <v>#VALUE!</v>
      </c>
      <c r="H16" s="53">
        <f>'DOE25'!K210+'DOE25'!K228+'DOE25'!K246</f>
        <v>0</v>
      </c>
      <c r="I16" s="256"/>
    </row>
    <row r="17" spans="1:9" x14ac:dyDescent="0.2">
      <c r="A17" s="32">
        <v>1600</v>
      </c>
      <c r="B17" t="s">
        <v>801</v>
      </c>
      <c r="C17" s="276">
        <f t="shared" si="0"/>
        <v>24047.47</v>
      </c>
      <c r="D17" s="20">
        <f>'DOE25'!L252-F17-G17-H17</f>
        <v>24047.47</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2880020</v>
      </c>
      <c r="D25" s="243"/>
      <c r="E25" s="243"/>
      <c r="F25" s="255"/>
      <c r="G25" s="253"/>
      <c r="H25" s="253"/>
      <c r="I25" s="254">
        <f>'DOE25'!L261+'DOE25'!L262+'DOE25'!L342+'DOE25'!L343</f>
        <v>2880020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899776.04999999993</v>
      </c>
      <c r="D29" s="284">
        <f>'DOE25'!L359+'DOE25'!L360+'DOE25'!L361-'DOE25'!I368-F29-G29-H29</f>
        <v>888943.45</v>
      </c>
      <c r="E29" s="243"/>
      <c r="F29" s="244"/>
      <c r="G29" s="53">
        <f>'DOE25'!J359+'DOE25'!J360+'DOE25'!J361</f>
        <v>5726.09</v>
      </c>
      <c r="H29" s="53">
        <f>'DOE25'!K359+'DOE25'!K360+'DOE25'!K361</f>
        <v>5106.51</v>
      </c>
      <c r="I29" s="256"/>
    </row>
    <row r="30" spans="1:9" x14ac:dyDescent="0.2">
      <c r="A30" s="32"/>
      <c r="C30" s="277"/>
      <c r="D30" s="20"/>
      <c r="E30" s="281"/>
      <c r="F30" s="271"/>
      <c r="G30" s="53"/>
      <c r="H30" s="53"/>
      <c r="I30" s="256"/>
    </row>
    <row r="31" spans="1:9" x14ac:dyDescent="0.2">
      <c r="A31" s="32" t="s">
        <v>818</v>
      </c>
      <c r="B31" t="s">
        <v>817</v>
      </c>
      <c r="C31" s="276">
        <f>SUM(D31:I31)</f>
        <v>1139961.98</v>
      </c>
      <c r="D31" s="20">
        <f>'DOE25'!L291+'DOE25'!L310+'DOE25'!L329+'DOE25'!L334+'DOE25'!L335+'DOE25'!L336-F31-G31-H31</f>
        <v>1079092.26</v>
      </c>
      <c r="E31" s="243"/>
      <c r="F31" s="244"/>
      <c r="G31" s="53">
        <f>'DOE25'!J291+'DOE25'!J310+'DOE25'!J329+'DOE25'!J334+'DOE25'!J335+'DOE25'!J336</f>
        <v>56019.06</v>
      </c>
      <c r="H31" s="53">
        <f>'DOE25'!K291+'DOE25'!K310+'DOE25'!K329+'DOE25'!K334+'DOE25'!K335+'DOE25'!K336</f>
        <v>4850.66</v>
      </c>
      <c r="I31" s="256"/>
    </row>
    <row r="32" spans="1:9" ht="12" thickBot="1" x14ac:dyDescent="0.25">
      <c r="C32" s="277"/>
      <c r="G32" s="251"/>
      <c r="H32" s="251"/>
      <c r="I32" s="258"/>
    </row>
    <row r="33" spans="1:9" ht="12" thickTop="1" x14ac:dyDescent="0.2">
      <c r="B33" t="s">
        <v>809</v>
      </c>
      <c r="D33" s="245" t="e">
        <f t="shared" ref="D33:I33" si="1">SUM(D5:D31)</f>
        <v>#VALUE!</v>
      </c>
      <c r="E33" s="245" t="e">
        <f t="shared" si="1"/>
        <v>#VALUE!</v>
      </c>
      <c r="F33" s="245">
        <f t="shared" si="1"/>
        <v>0</v>
      </c>
      <c r="G33" s="245" t="e">
        <f t="shared" si="1"/>
        <v>#VALUE!</v>
      </c>
      <c r="H33" s="245">
        <f t="shared" si="1"/>
        <v>238873.11</v>
      </c>
      <c r="I33" s="245">
        <f t="shared" si="1"/>
        <v>2880020</v>
      </c>
    </row>
    <row r="35" spans="1:9" ht="12" thickBot="1" x14ac:dyDescent="0.25">
      <c r="B35" s="251" t="s">
        <v>831</v>
      </c>
      <c r="D35" s="252" t="e">
        <f>E33</f>
        <v>#VALUE!</v>
      </c>
      <c r="E35" s="248"/>
    </row>
    <row r="36" spans="1:9" ht="12" thickTop="1" x14ac:dyDescent="0.2">
      <c r="B36" t="s">
        <v>810</v>
      </c>
      <c r="D36" s="20" t="e">
        <f>D33</f>
        <v>#VALUE!</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7" t="s">
        <v>903</v>
      </c>
      <c r="C53" s="357"/>
      <c r="D53" s="357"/>
      <c r="E53" s="357"/>
      <c r="F53" s="357"/>
      <c r="G53" s="357"/>
      <c r="H53" s="357"/>
      <c r="I53" s="282"/>
    </row>
  </sheetData>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9" tint="-0.249977111117893"/>
    <pageSetUpPr fitToPage="1"/>
  </sheetPr>
  <dimension ref="A1:R725"/>
  <sheetViews>
    <sheetView topLeftCell="A13" zoomScaleNormal="100" workbookViewId="0">
      <selection activeCell="I10" sqref="I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Bedford School District</v>
      </c>
      <c r="B2" s="126">
        <f>'DOE25'!B2</f>
        <v>41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31732751.290000003</v>
      </c>
      <c r="G4" s="303">
        <f>'DOE25'!L212+'DOE25'!L291</f>
        <v>31732751.290000007</v>
      </c>
      <c r="H4" s="337">
        <f>F4-G4</f>
        <v>0</v>
      </c>
      <c r="I4" s="309" t="str">
        <f>IF(H4=0,"","Does not match DOE25 page 7 and 11 Totals!!")</f>
        <v/>
      </c>
      <c r="N4"/>
    </row>
    <row r="5" spans="1:18" x14ac:dyDescent="0.2">
      <c r="A5" s="343" t="s">
        <v>939</v>
      </c>
      <c r="B5" s="304">
        <f>IFERROR(VLOOKUP(A5,'School Tables'!$C$3:$D$365,2,FALSE),"")</f>
        <v>21000</v>
      </c>
      <c r="C5" s="297" t="str">
        <f>IFERROR(INDEX('School Tables'!$B$3:$B$365,MATCH('School Level Expenditures'!B5,'School Tables'!$D$3:$D$365,0)),"")</f>
        <v>Bedford</v>
      </c>
      <c r="D5" s="344">
        <v>7045207.4400000004</v>
      </c>
      <c r="E5" s="344">
        <v>101848.29</v>
      </c>
      <c r="F5" s="312">
        <f>D5+E5</f>
        <v>7147055.7300000004</v>
      </c>
      <c r="G5" s="297"/>
      <c r="H5" s="297"/>
      <c r="I5" s="126"/>
      <c r="N5"/>
    </row>
    <row r="6" spans="1:18" x14ac:dyDescent="0.2">
      <c r="A6" s="21" t="s">
        <v>941</v>
      </c>
      <c r="B6" s="304">
        <f>IFERROR(VLOOKUP(A6,'School Tables'!$C$3:$D$365,2,FALSE),"")</f>
        <v>27680</v>
      </c>
      <c r="C6" s="297" t="str">
        <f>IFERROR(INDEX('School Tables'!$B$3:$B$365,MATCH('School Level Expenditures'!B6,'School Tables'!$D$3:$D$365,0)),"")</f>
        <v>Bedford</v>
      </c>
      <c r="D6" s="344">
        <v>7732635.7199999997</v>
      </c>
      <c r="E6" s="344">
        <v>115882.06</v>
      </c>
      <c r="F6" s="307">
        <f t="shared" ref="F6:F20" si="0">D6+E6</f>
        <v>7848517.7799999993</v>
      </c>
      <c r="G6" s="297"/>
      <c r="H6" s="297"/>
      <c r="I6" s="126"/>
      <c r="N6"/>
    </row>
    <row r="7" spans="1:18" x14ac:dyDescent="0.2">
      <c r="A7" s="343" t="s">
        <v>940</v>
      </c>
      <c r="B7" s="304">
        <f>IFERROR(VLOOKUP(A7,'School Tables'!$C$3:$D$365,2,FALSE),"")</f>
        <v>21005</v>
      </c>
      <c r="C7" s="297" t="str">
        <f>IFERROR(INDEX('School Tables'!$B$3:$B$365,MATCH('School Level Expenditures'!B7,'School Tables'!$D$3:$D$365,0)),"")</f>
        <v>Bedford</v>
      </c>
      <c r="D7" s="344">
        <v>9447408.0700000003</v>
      </c>
      <c r="E7" s="344">
        <v>158500.4</v>
      </c>
      <c r="F7" s="307">
        <f t="shared" si="0"/>
        <v>9605908.4700000007</v>
      </c>
      <c r="G7" s="297"/>
      <c r="H7" s="297"/>
      <c r="I7" s="126"/>
      <c r="N7"/>
    </row>
    <row r="8" spans="1:18" x14ac:dyDescent="0.2">
      <c r="A8" s="343" t="s">
        <v>1627</v>
      </c>
      <c r="B8" s="304">
        <f>IFERROR(VLOOKUP(A8,'School Tables'!$C$3:$D$365,2,FALSE),"")</f>
        <v>20990</v>
      </c>
      <c r="C8" s="297" t="str">
        <f>IFERROR(INDEX('School Tables'!$B$3:$B$365,MATCH('School Level Expenditures'!B8,'School Tables'!$D$3:$D$365,0)),"")</f>
        <v>Bedford</v>
      </c>
      <c r="D8" s="344">
        <v>6441037.0699999994</v>
      </c>
      <c r="E8" s="344">
        <v>239744.94</v>
      </c>
      <c r="F8" s="307">
        <f t="shared" si="0"/>
        <v>6680782.0099999998</v>
      </c>
      <c r="G8" s="297"/>
      <c r="H8" s="297"/>
      <c r="I8" s="126"/>
      <c r="N8"/>
    </row>
    <row r="9" spans="1:18" x14ac:dyDescent="0.2">
      <c r="A9" s="343" t="s">
        <v>1562</v>
      </c>
      <c r="B9" s="304">
        <f>IFERROR(VLOOKUP(A9,'School Tables'!$C$3:$D$365,2,FALSE),"")</f>
        <v>99999</v>
      </c>
      <c r="C9" s="297" t="str">
        <f>IFERROR(INDEX('School Tables'!$B$3:$B$365,MATCH('School Level Expenditures'!B9,'School Tables'!$D$3:$D$365,0)),"")</f>
        <v>Other District Expenditures</v>
      </c>
      <c r="D9" s="344">
        <v>450487.29999999981</v>
      </c>
      <c r="E9" s="344">
        <v>0</v>
      </c>
      <c r="F9" s="307">
        <f t="shared" si="0"/>
        <v>450487.29999999981</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11039518.940000001</v>
      </c>
      <c r="G24" s="303">
        <f>'DOE25'!L230+'DOE25'!L310</f>
        <v>11039518.940000001</v>
      </c>
      <c r="H24" s="337">
        <f>F24-G24</f>
        <v>0</v>
      </c>
      <c r="I24" s="309" t="str">
        <f>IF(H24=0,"","Does not match DOE25 page 8 and 12 Totals!!")</f>
        <v/>
      </c>
      <c r="N24"/>
    </row>
    <row r="25" spans="1:14" x14ac:dyDescent="0.2">
      <c r="A25" s="343" t="s">
        <v>943</v>
      </c>
      <c r="B25" s="304">
        <f>IFERROR(VLOOKUP(A25,'School Tables'!$I$3:$J$80,2,FALSE),"")</f>
        <v>28560</v>
      </c>
      <c r="C25" s="297" t="str">
        <f t="array" ref="C25">IFERROR(INDEX('School Tables'!$H$3:$H$80,MATCH('School Level Expenditures'!B25,'School Tables'!$J$3:$J$80,0)),"")</f>
        <v>Bedford</v>
      </c>
      <c r="D25" s="345">
        <v>10737322.680000002</v>
      </c>
      <c r="E25" s="345">
        <v>157696.23000000001</v>
      </c>
      <c r="F25" s="307">
        <f>D25+E25</f>
        <v>10895018.910000002</v>
      </c>
      <c r="G25" s="297"/>
      <c r="H25" s="297"/>
      <c r="I25" s="126"/>
      <c r="N25"/>
    </row>
    <row r="26" spans="1:14" x14ac:dyDescent="0.2">
      <c r="A26" s="343" t="s">
        <v>1562</v>
      </c>
      <c r="B26" s="304">
        <f>IFERROR(VLOOKUP(A26,'School Tables'!$I$3:$J$80,2,FALSE),"")</f>
        <v>99999</v>
      </c>
      <c r="C26" s="297" t="str">
        <f t="array" ref="C26">IFERROR(INDEX('School Tables'!$H$3:$H$80,MATCH('School Level Expenditures'!B26,'School Tables'!$J$3:$J$80,0)),"")</f>
        <v>Other District Expenditures</v>
      </c>
      <c r="D26" s="345">
        <v>144500.03</v>
      </c>
      <c r="E26" s="345"/>
      <c r="F26" s="307">
        <f t="shared" ref="F26:F32" si="1">D26+E26</f>
        <v>144500.03</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23215656.150000002</v>
      </c>
      <c r="G36" s="303">
        <f>'DOE25'!L248+'DOE25'!L329</f>
        <v>23215656.149999999</v>
      </c>
      <c r="H36" s="337">
        <f>F36-G36</f>
        <v>0</v>
      </c>
      <c r="I36" s="309" t="str">
        <f>IF(H36=0,"","Does not match DOE25 page 9 and 13 Totals!!")</f>
        <v/>
      </c>
      <c r="N36"/>
    </row>
    <row r="37" spans="1:14" x14ac:dyDescent="0.2">
      <c r="A37" s="343" t="s">
        <v>942</v>
      </c>
      <c r="B37" s="304">
        <f>IFERROR(VLOOKUP(A37,'School Tables'!$O$3:$P$118,2,FALSE),"")</f>
        <v>28555</v>
      </c>
      <c r="C37" s="297" t="str">
        <f t="array" ref="C37">IFERROR(INDEX('School Tables'!$N$3:$N$118,MATCH('School Level Expenditures'!B37,'School Tables'!$P$3:$P$118,0)),"")</f>
        <v>Bedford</v>
      </c>
      <c r="D37" s="346">
        <v>21343745.920000002</v>
      </c>
      <c r="E37" s="346">
        <v>362089.19</v>
      </c>
      <c r="F37" s="307">
        <f>D37+E37</f>
        <v>21705835.110000003</v>
      </c>
      <c r="G37" s="297"/>
      <c r="H37" s="297"/>
      <c r="I37" s="126"/>
      <c r="N37"/>
    </row>
    <row r="38" spans="1:14" x14ac:dyDescent="0.2">
      <c r="A38" s="343" t="s">
        <v>1562</v>
      </c>
      <c r="B38" s="304">
        <f>IFERROR(VLOOKUP(A38,'School Tables'!$O$3:$P$118,2,FALSE),"")</f>
        <v>99999</v>
      </c>
      <c r="C38" s="297" t="str">
        <f t="array" ref="C38">IFERROR(INDEX('School Tables'!$N$3:$N$118,MATCH('School Level Expenditures'!B38,'School Tables'!$P$3:$P$118,0)),"")</f>
        <v>Other District Expenditures</v>
      </c>
      <c r="D38" s="346">
        <v>1509821.04</v>
      </c>
      <c r="E38" s="346">
        <v>0</v>
      </c>
      <c r="F38" s="307">
        <f t="shared" ref="F38:F41" si="2">D38+E38</f>
        <v>1509821.04</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7"/>
      <c r="B58" s="357"/>
      <c r="C58" s="357"/>
      <c r="D58" s="357"/>
      <c r="E58" s="357"/>
      <c r="F58" s="357"/>
      <c r="G58" s="357"/>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Bedford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3322716.1600000006</v>
      </c>
      <c r="D8" s="95">
        <f>'DOE25'!G9</f>
        <v>110</v>
      </c>
      <c r="E8" s="95">
        <f>'DOE25'!H9</f>
        <v>0</v>
      </c>
      <c r="F8" s="95">
        <f>'DOE25'!I9</f>
        <v>0</v>
      </c>
      <c r="G8" s="95">
        <f>'DOE25'!J9</f>
        <v>0</v>
      </c>
      <c r="H8" s="124"/>
      <c r="I8" s="124"/>
    </row>
    <row r="9" spans="1:9" x14ac:dyDescent="0.2">
      <c r="A9" s="1" t="s">
        <v>140</v>
      </c>
      <c r="B9" s="6">
        <v>110</v>
      </c>
      <c r="C9" s="95">
        <f>'DOE25'!F10</f>
        <v>3618996.21</v>
      </c>
      <c r="D9" s="95">
        <f>'DOE25'!G10</f>
        <v>0</v>
      </c>
      <c r="E9" s="95">
        <f>'DOE25'!H10</f>
        <v>0</v>
      </c>
      <c r="F9" s="95">
        <f>'DOE25'!I10</f>
        <v>0</v>
      </c>
      <c r="G9" s="95">
        <f>'DOE25'!J10</f>
        <v>0</v>
      </c>
      <c r="H9" s="124"/>
      <c r="I9" s="124"/>
    </row>
    <row r="10" spans="1:9" x14ac:dyDescent="0.2">
      <c r="A10" s="1" t="s">
        <v>141</v>
      </c>
      <c r="B10" s="6">
        <v>120</v>
      </c>
      <c r="C10" s="95" t="str">
        <f>'DOE25'!F11</f>
        <v xml:space="preserve"> </v>
      </c>
      <c r="D10" s="24" t="s">
        <v>288</v>
      </c>
      <c r="E10" s="24" t="s">
        <v>288</v>
      </c>
      <c r="F10" s="24" t="s">
        <v>288</v>
      </c>
      <c r="G10" s="24" t="s">
        <v>288</v>
      </c>
      <c r="H10" s="124"/>
      <c r="I10" s="124"/>
    </row>
    <row r="11" spans="1:9" x14ac:dyDescent="0.2">
      <c r="A11" s="1" t="s">
        <v>142</v>
      </c>
      <c r="B11" s="6">
        <v>130</v>
      </c>
      <c r="C11" s="95">
        <f>'DOE25'!F12</f>
        <v>0</v>
      </c>
      <c r="D11" s="95">
        <f>'DOE25'!G12</f>
        <v>377739.78</v>
      </c>
      <c r="E11" s="95">
        <f>'DOE25'!H12</f>
        <v>0</v>
      </c>
      <c r="F11" s="95">
        <f>'DOE25'!I12</f>
        <v>0</v>
      </c>
      <c r="G11" s="95">
        <f>'DOE25'!J12</f>
        <v>0</v>
      </c>
      <c r="H11" s="124"/>
      <c r="I11" s="124"/>
    </row>
    <row r="12" spans="1:9" x14ac:dyDescent="0.2">
      <c r="A12" s="1" t="s">
        <v>143</v>
      </c>
      <c r="B12" s="6">
        <v>140</v>
      </c>
      <c r="C12" s="95" t="str">
        <f>'DOE25'!F13</f>
        <v xml:space="preserve"> </v>
      </c>
      <c r="D12" s="95">
        <f>'DOE25'!G13</f>
        <v>4492.9100000000008</v>
      </c>
      <c r="E12" s="95">
        <f>'DOE25'!H13</f>
        <v>461669.52999999997</v>
      </c>
      <c r="F12" s="95">
        <f>'DOE25'!I13</f>
        <v>0</v>
      </c>
      <c r="G12" s="95">
        <f>'DOE25'!J13</f>
        <v>0</v>
      </c>
      <c r="H12" s="124"/>
      <c r="I12" s="124"/>
    </row>
    <row r="13" spans="1:9" x14ac:dyDescent="0.2">
      <c r="A13" s="1" t="s">
        <v>144</v>
      </c>
      <c r="B13" s="6">
        <v>150</v>
      </c>
      <c r="C13" s="95">
        <f>'DOE25'!F14</f>
        <v>392282.86</v>
      </c>
      <c r="D13" s="95">
        <f>'DOE25'!G14</f>
        <v>2410</v>
      </c>
      <c r="E13" s="95">
        <f>'DOE25'!H14</f>
        <v>70945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16380.45</v>
      </c>
      <c r="D15" s="95">
        <f>'DOE25'!G16</f>
        <v>0</v>
      </c>
      <c r="E15" s="95">
        <f>'DOE25'!H16</f>
        <v>0</v>
      </c>
      <c r="F15" s="95">
        <f>'DOE25'!I16</f>
        <v>0</v>
      </c>
      <c r="G15" s="24" t="s">
        <v>288</v>
      </c>
      <c r="H15" s="124"/>
      <c r="I15" s="124"/>
    </row>
    <row r="16" spans="1:9" x14ac:dyDescent="0.2">
      <c r="A16" s="1" t="s">
        <v>147</v>
      </c>
      <c r="B16" s="6">
        <v>180</v>
      </c>
      <c r="C16" s="95">
        <f>'DOE25'!F17</f>
        <v>222798.58</v>
      </c>
      <c r="D16" s="95">
        <f>'DOE25'!G17</f>
        <v>6875</v>
      </c>
      <c r="E16" s="95">
        <f>'DOE25'!H17</f>
        <v>0</v>
      </c>
      <c r="F16" s="95">
        <f>'DOE25'!I17</f>
        <v>0</v>
      </c>
      <c r="G16" s="95">
        <f>'DOE25'!J17</f>
        <v>0</v>
      </c>
      <c r="H16" s="124"/>
      <c r="I16" s="124"/>
    </row>
    <row r="17" spans="1:9" ht="12" thickBot="1" x14ac:dyDescent="0.25">
      <c r="A17" s="1" t="s">
        <v>148</v>
      </c>
      <c r="B17" s="6">
        <v>190</v>
      </c>
      <c r="C17" s="95">
        <f>'DOE25'!F18</f>
        <v>18613.509999999998</v>
      </c>
      <c r="D17" s="95">
        <f>'DOE25'!G18</f>
        <v>0</v>
      </c>
      <c r="E17" s="95">
        <f>'DOE25'!H18</f>
        <v>0</v>
      </c>
      <c r="F17" s="95">
        <f>'DOE25'!I18</f>
        <v>0</v>
      </c>
      <c r="G17" s="95">
        <f>'DOE25'!J18</f>
        <v>0</v>
      </c>
      <c r="H17" s="124"/>
      <c r="I17" s="124"/>
    </row>
    <row r="18" spans="1:9" ht="12" thickTop="1" x14ac:dyDescent="0.2">
      <c r="A18" s="38" t="s">
        <v>149</v>
      </c>
      <c r="B18" s="39"/>
      <c r="C18" s="41">
        <f>SUM(C8:C17)</f>
        <v>7591787.7700000014</v>
      </c>
      <c r="D18" s="41">
        <f>SUM(D8:D17)</f>
        <v>391627.69</v>
      </c>
      <c r="E18" s="41">
        <f>SUM(E8:E17)</f>
        <v>532614.53</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t="str">
        <f>'DOE25'!F22</f>
        <v xml:space="preserve"> </v>
      </c>
      <c r="D21" s="95">
        <f>'DOE25'!G22</f>
        <v>0</v>
      </c>
      <c r="E21" s="95">
        <f>'DOE25'!H22</f>
        <v>460056.69000000006</v>
      </c>
      <c r="F21" s="95">
        <f>'DOE25'!I22</f>
        <v>0</v>
      </c>
      <c r="G21" s="95">
        <f>'DOE25'!J22</f>
        <v>0</v>
      </c>
      <c r="H21" s="124"/>
      <c r="I21" s="124"/>
    </row>
    <row r="22" spans="1:9" x14ac:dyDescent="0.2">
      <c r="A22" s="1" t="s">
        <v>151</v>
      </c>
      <c r="B22" s="6">
        <v>410</v>
      </c>
      <c r="C22" s="95" t="str">
        <f>'DOE25'!F23</f>
        <v xml:space="preserve"> </v>
      </c>
      <c r="D22" s="95">
        <f>'DOE25'!G23</f>
        <v>0</v>
      </c>
      <c r="E22" s="95">
        <f>'DOE25'!H23</f>
        <v>0</v>
      </c>
      <c r="F22" s="95">
        <f>'DOE25'!I23</f>
        <v>0</v>
      </c>
      <c r="G22" s="95">
        <f>'DOE25'!J23</f>
        <v>0</v>
      </c>
      <c r="H22" s="124"/>
      <c r="I22" s="124"/>
    </row>
    <row r="23" spans="1:9" x14ac:dyDescent="0.2">
      <c r="A23" s="1" t="s">
        <v>152</v>
      </c>
      <c r="B23" s="6">
        <v>420</v>
      </c>
      <c r="C23" s="95">
        <f>'DOE25'!F24</f>
        <v>536802.93000000005</v>
      </c>
      <c r="D23" s="95">
        <f>'DOE25'!G24</f>
        <v>0</v>
      </c>
      <c r="E23" s="95">
        <f>'DOE25'!H24</f>
        <v>0</v>
      </c>
      <c r="F23" s="95">
        <f>'DOE25'!I24</f>
        <v>0</v>
      </c>
      <c r="G23" s="95">
        <f>'DOE25'!J24</f>
        <v>0</v>
      </c>
      <c r="H23" s="124"/>
      <c r="I23" s="124"/>
    </row>
    <row r="24" spans="1:9" x14ac:dyDescent="0.2">
      <c r="A24" s="1" t="s">
        <v>153</v>
      </c>
      <c r="B24" s="6">
        <v>430</v>
      </c>
      <c r="C24" s="95">
        <f>'DOE25'!F25</f>
        <v>6640</v>
      </c>
      <c r="D24" s="95">
        <f>'DOE25'!G25</f>
        <v>0</v>
      </c>
      <c r="E24" s="95">
        <f>'DOE25'!H25</f>
        <v>0</v>
      </c>
      <c r="F24" s="95">
        <f>'DOE25'!I25</f>
        <v>0</v>
      </c>
      <c r="G24" s="24" t="s">
        <v>288</v>
      </c>
      <c r="H24" s="124"/>
      <c r="I24" s="124"/>
    </row>
    <row r="25" spans="1:9" x14ac:dyDescent="0.2">
      <c r="A25" s="1" t="s">
        <v>154</v>
      </c>
      <c r="B25" s="6">
        <v>440</v>
      </c>
      <c r="C25" s="95" t="str">
        <f>'DOE25'!F26</f>
        <v xml:space="preserve"> </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2735605</v>
      </c>
      <c r="D27" s="95">
        <f>'DOE25'!G28</f>
        <v>0</v>
      </c>
      <c r="E27" s="95">
        <f>'DOE25'!H28</f>
        <v>57200.95</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125303.87</v>
      </c>
      <c r="D29" s="95">
        <f>'DOE25'!G30</f>
        <v>177314.38999999998</v>
      </c>
      <c r="E29" s="95">
        <f>'DOE25'!H30</f>
        <v>15356.89</v>
      </c>
      <c r="F29" s="95">
        <f>'DOE25'!I30</f>
        <v>0</v>
      </c>
      <c r="G29" s="24" t="s">
        <v>288</v>
      </c>
      <c r="H29" s="124"/>
      <c r="I29" s="124"/>
    </row>
    <row r="30" spans="1:9" ht="12" thickBot="1" x14ac:dyDescent="0.25">
      <c r="A30" s="1" t="s">
        <v>159</v>
      </c>
      <c r="B30" s="71">
        <v>490</v>
      </c>
      <c r="C30" s="95">
        <f>'DOE25'!F31</f>
        <v>33646</v>
      </c>
      <c r="D30" s="95">
        <f>'DOE25'!G31</f>
        <v>0</v>
      </c>
      <c r="E30" s="95">
        <f>'DOE25'!H31</f>
        <v>0</v>
      </c>
      <c r="F30" s="95">
        <f>'DOE25'!I31</f>
        <v>0</v>
      </c>
      <c r="G30" s="95">
        <f>'DOE25'!J31</f>
        <v>0</v>
      </c>
      <c r="H30" s="124"/>
      <c r="I30" s="124"/>
    </row>
    <row r="31" spans="1:9" ht="12" thickTop="1" x14ac:dyDescent="0.2">
      <c r="A31" s="38" t="s">
        <v>160</v>
      </c>
      <c r="B31" s="2"/>
      <c r="C31" s="41">
        <f>SUM(C21:C30)</f>
        <v>3437997.8000000003</v>
      </c>
      <c r="D31" s="41">
        <f>SUM(D21:D30)</f>
        <v>177314.38999999998</v>
      </c>
      <c r="E31" s="41">
        <f>SUM(E21:E30)</f>
        <v>532614.53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16380.45</v>
      </c>
      <c r="D34" s="95">
        <f>'DOE25'!G35</f>
        <v>0</v>
      </c>
      <c r="E34" s="95">
        <f>'DOE25'!H35</f>
        <v>0</v>
      </c>
      <c r="F34" s="95">
        <f>'DOE25'!I35</f>
        <v>0</v>
      </c>
      <c r="G34" s="24" t="s">
        <v>288</v>
      </c>
      <c r="H34" s="124"/>
      <c r="I34" s="124"/>
    </row>
    <row r="35" spans="1:9" x14ac:dyDescent="0.2">
      <c r="A35" s="1" t="s">
        <v>850</v>
      </c>
      <c r="B35" s="6">
        <v>752</v>
      </c>
      <c r="C35" s="95">
        <f>'DOE25'!F36</f>
        <v>222798.58</v>
      </c>
      <c r="D35" s="95">
        <f>'DOE25'!G36</f>
        <v>6875</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207438.3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t="str">
        <f>'DOE25'!F48</f>
        <v xml:space="preserve"> </v>
      </c>
      <c r="D47" s="95">
        <f>'DOE25'!G48</f>
        <v>0</v>
      </c>
      <c r="E47" s="95">
        <f>'DOE25'!H48</f>
        <v>0</v>
      </c>
      <c r="F47" s="95">
        <f>'DOE25'!I48</f>
        <v>0</v>
      </c>
      <c r="G47" s="95">
        <f>'DOE25'!J48</f>
        <v>0</v>
      </c>
      <c r="H47" s="124"/>
      <c r="I47" s="124"/>
    </row>
    <row r="48" spans="1:9" x14ac:dyDescent="0.2">
      <c r="A48" s="1" t="s">
        <v>882</v>
      </c>
      <c r="B48" s="6">
        <v>753</v>
      </c>
      <c r="C48" s="95">
        <f>'DOE25'!F49</f>
        <v>138052.34</v>
      </c>
      <c r="D48" s="95">
        <f>'DOE25'!G49</f>
        <v>0</v>
      </c>
      <c r="E48" s="95">
        <f>'DOE25'!H49</f>
        <v>0</v>
      </c>
      <c r="F48" s="95">
        <f>'DOE25'!I49</f>
        <v>0</v>
      </c>
      <c r="G48" s="95">
        <f>'DOE25'!J49</f>
        <v>0</v>
      </c>
      <c r="H48" s="124"/>
      <c r="I48" s="124"/>
    </row>
    <row r="49" spans="1:9" ht="12" thickBot="1" x14ac:dyDescent="0.25">
      <c r="A49" s="29" t="s">
        <v>883</v>
      </c>
      <c r="B49" s="71">
        <v>770</v>
      </c>
      <c r="C49" s="95">
        <f>'DOE25'!F50</f>
        <v>3776558.6</v>
      </c>
      <c r="D49" s="24" t="s">
        <v>288</v>
      </c>
      <c r="E49" s="24" t="s">
        <v>288</v>
      </c>
      <c r="F49" s="24" t="s">
        <v>288</v>
      </c>
      <c r="G49" s="24" t="s">
        <v>288</v>
      </c>
      <c r="H49" s="124"/>
      <c r="I49" s="124"/>
    </row>
    <row r="50" spans="1:9" ht="12.75" thickTop="1" thickBot="1" x14ac:dyDescent="0.25">
      <c r="A50" s="38" t="s">
        <v>884</v>
      </c>
      <c r="B50" s="48"/>
      <c r="C50" s="41">
        <f>SUM(C34:C49)</f>
        <v>4153789.97</v>
      </c>
      <c r="D50" s="41">
        <f>SUM(D34:D49)</f>
        <v>214313.3</v>
      </c>
      <c r="E50" s="41">
        <f>SUM(E34:E49)</f>
        <v>0</v>
      </c>
      <c r="F50" s="41">
        <f>SUM(F34:F49)</f>
        <v>0</v>
      </c>
      <c r="G50" s="41">
        <f>SUM(G34:G49)</f>
        <v>0</v>
      </c>
      <c r="H50" s="124"/>
      <c r="I50" s="124"/>
    </row>
    <row r="51" spans="1:9" ht="12" thickTop="1" x14ac:dyDescent="0.2">
      <c r="A51" s="38" t="s">
        <v>885</v>
      </c>
      <c r="B51" s="2"/>
      <c r="C51" s="41">
        <f>C50+C31</f>
        <v>7591787.7700000005</v>
      </c>
      <c r="D51" s="41">
        <f>D50+D31</f>
        <v>391627.68999999994</v>
      </c>
      <c r="E51" s="41">
        <f>E50+E31</f>
        <v>532614.53</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47187589.030000001</v>
      </c>
      <c r="D56" s="95">
        <f>'DOE25'!G60</f>
        <v>0</v>
      </c>
      <c r="E56" s="95">
        <f>'DOE25'!H60</f>
        <v>0</v>
      </c>
      <c r="F56" s="95">
        <f>'DOE25'!I60</f>
        <v>0</v>
      </c>
      <c r="G56" s="95">
        <f>'DOE25'!J60</f>
        <v>0</v>
      </c>
      <c r="H56"/>
      <c r="I56"/>
    </row>
    <row r="57" spans="1:9" x14ac:dyDescent="0.2">
      <c r="A57" s="1" t="s">
        <v>164</v>
      </c>
      <c r="B57" s="6" t="s">
        <v>165</v>
      </c>
      <c r="C57" s="95">
        <f>'DOE25'!F79</f>
        <v>998330.51</v>
      </c>
      <c r="D57" s="24" t="s">
        <v>288</v>
      </c>
      <c r="E57" s="95">
        <f>'DOE25'!H79</f>
        <v>0</v>
      </c>
      <c r="F57" s="24" t="s">
        <v>288</v>
      </c>
      <c r="G57" s="24" t="s">
        <v>288</v>
      </c>
      <c r="H57"/>
      <c r="I57"/>
    </row>
    <row r="58" spans="1:9" x14ac:dyDescent="0.2">
      <c r="A58" s="1" t="s">
        <v>166</v>
      </c>
      <c r="B58" s="6" t="s">
        <v>167</v>
      </c>
      <c r="C58" s="95">
        <f>'DOE25'!F94</f>
        <v>2898.74</v>
      </c>
      <c r="D58" s="24" t="s">
        <v>288</v>
      </c>
      <c r="E58" s="95">
        <f>'DOE25'!H94</f>
        <v>0</v>
      </c>
      <c r="F58" s="24" t="s">
        <v>288</v>
      </c>
      <c r="G58" s="24" t="s">
        <v>288</v>
      </c>
      <c r="H58"/>
      <c r="I58"/>
    </row>
    <row r="59" spans="1:9" x14ac:dyDescent="0.2">
      <c r="A59" s="69" t="s">
        <v>168</v>
      </c>
      <c r="B59" s="37" t="s">
        <v>169</v>
      </c>
      <c r="C59" s="95">
        <f>'DOE25'!F96</f>
        <v>23593.57</v>
      </c>
      <c r="D59" s="95">
        <f>'DOE25'!G96</f>
        <v>0</v>
      </c>
      <c r="E59" s="95">
        <f>'DOE25'!H96</f>
        <v>0</v>
      </c>
      <c r="F59" s="95">
        <f>'DOE25'!I96</f>
        <v>0</v>
      </c>
      <c r="G59" s="95">
        <f>'DOE25'!J96</f>
        <v>0</v>
      </c>
      <c r="H59"/>
      <c r="I59"/>
    </row>
    <row r="60" spans="1:9" x14ac:dyDescent="0.2">
      <c r="A60" s="1" t="s">
        <v>170</v>
      </c>
      <c r="B60" s="118" t="s">
        <v>171</v>
      </c>
      <c r="C60" s="24" t="s">
        <v>288</v>
      </c>
      <c r="D60" s="95">
        <f>'DOE25'!G97</f>
        <v>1126941.6000000001</v>
      </c>
      <c r="E60" s="24" t="s">
        <v>288</v>
      </c>
      <c r="F60" s="24" t="s">
        <v>288</v>
      </c>
      <c r="G60" s="24" t="s">
        <v>288</v>
      </c>
      <c r="H60"/>
      <c r="I60"/>
    </row>
    <row r="61" spans="1:9" ht="12" thickBot="1" x14ac:dyDescent="0.25">
      <c r="A61" s="1" t="s">
        <v>172</v>
      </c>
      <c r="B61" s="118" t="s">
        <v>173</v>
      </c>
      <c r="C61" s="95">
        <f>SUM('DOE25'!F98:F110)</f>
        <v>298343.38</v>
      </c>
      <c r="D61" s="95">
        <f>SUM('DOE25'!G98:G110)</f>
        <v>630</v>
      </c>
      <c r="E61" s="95">
        <f>SUM('DOE25'!H98:H110)</f>
        <v>56771.76</v>
      </c>
      <c r="F61" s="95">
        <f>SUM('DOE25'!I98:I110)</f>
        <v>0</v>
      </c>
      <c r="G61" s="95">
        <f>SUM('DOE25'!J98:J110)</f>
        <v>0</v>
      </c>
      <c r="H61"/>
      <c r="I61"/>
    </row>
    <row r="62" spans="1:9" ht="12.75" thickTop="1" thickBot="1" x14ac:dyDescent="0.25">
      <c r="A62" s="29" t="s">
        <v>174</v>
      </c>
      <c r="B62" s="6"/>
      <c r="C62" s="130">
        <f>SUM(C57:C61)</f>
        <v>1323166.2</v>
      </c>
      <c r="D62" s="130">
        <f>SUM(D57:D61)</f>
        <v>1127571.6000000001</v>
      </c>
      <c r="E62" s="130">
        <f>SUM(E57:E61)</f>
        <v>56771.76</v>
      </c>
      <c r="F62" s="130">
        <f>SUM(F57:F61)</f>
        <v>0</v>
      </c>
      <c r="G62" s="130">
        <f>SUM(G57:G61)</f>
        <v>0</v>
      </c>
      <c r="H62"/>
      <c r="I62"/>
    </row>
    <row r="63" spans="1:9" ht="12" thickTop="1" x14ac:dyDescent="0.2">
      <c r="A63" s="29" t="s">
        <v>175</v>
      </c>
      <c r="B63" s="6"/>
      <c r="C63" s="22">
        <f>C56+C62</f>
        <v>48510755.230000004</v>
      </c>
      <c r="D63" s="22">
        <f>D56+D62</f>
        <v>1127571.6000000001</v>
      </c>
      <c r="E63" s="22">
        <f>E56+E62</f>
        <v>56771.76</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9665063.2400000002</v>
      </c>
      <c r="D66" s="24" t="s">
        <v>288</v>
      </c>
      <c r="E66" s="24" t="s">
        <v>288</v>
      </c>
      <c r="F66" s="24" t="s">
        <v>288</v>
      </c>
      <c r="G66" s="24" t="s">
        <v>288</v>
      </c>
      <c r="H66"/>
      <c r="I66"/>
    </row>
    <row r="67" spans="1:9" x14ac:dyDescent="0.2">
      <c r="A67" s="1" t="s">
        <v>770</v>
      </c>
      <c r="B67" s="6">
        <v>3112</v>
      </c>
      <c r="C67" s="95">
        <f>'DOE25'!F118</f>
        <v>8157253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27407.39</v>
      </c>
      <c r="D69" s="95">
        <f>'DOE25'!G120</f>
        <v>0</v>
      </c>
      <c r="E69" s="95">
        <f>'DOE25'!H120</f>
        <v>0</v>
      </c>
      <c r="F69" s="95">
        <f>'DOE25'!I120</f>
        <v>0</v>
      </c>
      <c r="G69" s="95">
        <f>'DOE25'!J120</f>
        <v>0</v>
      </c>
      <c r="H69"/>
      <c r="I69"/>
    </row>
    <row r="70" spans="1:9" ht="12" thickTop="1" x14ac:dyDescent="0.2">
      <c r="A70" s="29" t="s">
        <v>252</v>
      </c>
      <c r="B70" s="2"/>
      <c r="C70" s="139">
        <f>SUM(C66:C69)</f>
        <v>17849723.630000003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522698.74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879910.09</v>
      </c>
      <c r="D75" s="24" t="s">
        <v>288</v>
      </c>
      <c r="E75" s="24" t="s">
        <v>288</v>
      </c>
      <c r="F75" s="24" t="s">
        <v>288</v>
      </c>
      <c r="G75" s="24" t="s">
        <v>288</v>
      </c>
      <c r="H75"/>
      <c r="I75"/>
    </row>
    <row r="76" spans="1:9" x14ac:dyDescent="0.2">
      <c r="A76" s="1" t="s">
        <v>257</v>
      </c>
      <c r="B76" s="6" t="s">
        <v>179</v>
      </c>
      <c r="C76" s="95">
        <f>SUM('DOE25'!F127:F130)</f>
        <v>1.32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22579.24</v>
      </c>
      <c r="E77" s="95">
        <f>SUM('DOE25'!H131:H135)</f>
        <v>4200.87</v>
      </c>
      <c r="F77" s="95">
        <f>SUM('DOE25'!I131:I135)</f>
        <v>0</v>
      </c>
      <c r="G77" s="95">
        <f>SUM('DOE25'!J131:J135)</f>
        <v>0</v>
      </c>
      <c r="H77"/>
      <c r="I77"/>
    </row>
    <row r="78" spans="1:9" ht="12.75" thickTop="1" thickBot="1" x14ac:dyDescent="0.25">
      <c r="A78" s="29" t="s">
        <v>259</v>
      </c>
      <c r="B78" s="6"/>
      <c r="C78" s="130">
        <f>SUM(C72:C77)</f>
        <v>1402610.1500000001</v>
      </c>
      <c r="D78" s="130">
        <f>SUM(D72:D77)</f>
        <v>22579.24</v>
      </c>
      <c r="E78" s="130">
        <f>SUM(E72:E77)</f>
        <v>4200.87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19252333.780000001</v>
      </c>
      <c r="D81" s="130">
        <f>SUM(D79:D80)+D78+D70</f>
        <v>22579.24</v>
      </c>
      <c r="E81" s="130">
        <f>SUM(E79:E80)+E78+E70</f>
        <v>4200.87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39" t="s">
        <v>184</v>
      </c>
      <c r="C88" s="340">
        <f>SUM('DOE25'!F153:F162)</f>
        <v>33835.440000000002</v>
      </c>
      <c r="D88" s="340">
        <f>SUM('DOE25'!G153:G162)</f>
        <v>194652.92</v>
      </c>
      <c r="E88" s="340">
        <f>SUM('DOE25'!H153:H162)</f>
        <v>1078989.3500000001</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33835.440000000002</v>
      </c>
      <c r="D91" s="131">
        <f>SUM(D85:D90)</f>
        <v>194652.92</v>
      </c>
      <c r="E91" s="131">
        <f>SUM(E85:E90)</f>
        <v>1078989.3500000001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67796924.450000003</v>
      </c>
      <c r="D104" s="86">
        <f>D63+D81+D91+D103</f>
        <v>1344803.76</v>
      </c>
      <c r="E104" s="86">
        <f>E63+E81+E91+E103</f>
        <v>1139961.98</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30226764.020000003</v>
      </c>
      <c r="D109" s="24" t="s">
        <v>288</v>
      </c>
      <c r="E109" s="95">
        <f>('DOE25'!L277)+('DOE25'!L296)+('DOE25'!L315)</f>
        <v>150789.59999999998</v>
      </c>
      <c r="F109" s="24" t="s">
        <v>288</v>
      </c>
      <c r="G109" s="24" t="s">
        <v>288</v>
      </c>
    </row>
    <row r="110" spans="1:7" x14ac:dyDescent="0.2">
      <c r="A110" t="s">
        <v>198</v>
      </c>
      <c r="B110" s="32" t="s">
        <v>199</v>
      </c>
      <c r="C110" s="95">
        <f>('DOE25'!L199)+('DOE25'!L217)+('DOE25'!L235)</f>
        <v>12749081.01</v>
      </c>
      <c r="D110" s="24" t="s">
        <v>288</v>
      </c>
      <c r="E110" s="95">
        <f>('DOE25'!L278)+('DOE25'!L297)+('DOE25'!L316)</f>
        <v>532632.64000000013</v>
      </c>
      <c r="F110" s="24" t="s">
        <v>288</v>
      </c>
      <c r="G110" s="24" t="s">
        <v>288</v>
      </c>
    </row>
    <row r="111" spans="1:7" x14ac:dyDescent="0.2">
      <c r="A111" t="s">
        <v>200</v>
      </c>
      <c r="B111" s="32" t="s">
        <v>165</v>
      </c>
      <c r="C111" s="95">
        <f>('DOE25'!L200)+('DOE25'!L218)+('DOE25'!L236)</f>
        <v>81046.679999999993</v>
      </c>
      <c r="D111" s="24" t="s">
        <v>288</v>
      </c>
      <c r="E111" s="95">
        <f>('DOE25'!L279)+('DOE25'!L298)+('DOE25'!L317)</f>
        <v>0</v>
      </c>
      <c r="F111" s="24" t="s">
        <v>288</v>
      </c>
      <c r="G111" s="24" t="s">
        <v>288</v>
      </c>
    </row>
    <row r="112" spans="1:7" x14ac:dyDescent="0.2">
      <c r="A112" t="s">
        <v>201</v>
      </c>
      <c r="B112" s="32" t="s">
        <v>167</v>
      </c>
      <c r="C112" s="95">
        <f>('DOE25'!L201)+('DOE25'!L219)+('DOE25'!L237)</f>
        <v>1413257.6100000003</v>
      </c>
      <c r="D112" s="24" t="s">
        <v>288</v>
      </c>
      <c r="E112" s="95">
        <f>+('DOE25'!L280)+('DOE25'!L299)+('DOE25'!L318)</f>
        <v>398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24047.47</v>
      </c>
      <c r="D114" s="24" t="s">
        <v>288</v>
      </c>
      <c r="E114" s="95">
        <f>+ SUM('DOE25'!L334:L336)</f>
        <v>4200.87</v>
      </c>
      <c r="F114" s="24" t="s">
        <v>288</v>
      </c>
      <c r="G114" s="24" t="s">
        <v>288</v>
      </c>
    </row>
    <row r="115" spans="1:7" ht="12.75" thickTop="1" thickBot="1" x14ac:dyDescent="0.25">
      <c r="A115" s="33" t="s">
        <v>205</v>
      </c>
      <c r="C115" s="86">
        <f>SUM(C109:C114)</f>
        <v>44494196.789999999</v>
      </c>
      <c r="D115" s="86">
        <f>SUM(D109:D114)</f>
        <v>0</v>
      </c>
      <c r="E115" s="86">
        <f>SUM(E109:E114)</f>
        <v>688021.1100000001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4268240.6500000004</v>
      </c>
      <c r="D118" s="24" t="s">
        <v>288</v>
      </c>
      <c r="E118" s="95">
        <f>+('DOE25'!L282)+('DOE25'!L301)+('DOE25'!L320)</f>
        <v>290464.66000000003</v>
      </c>
      <c r="F118" s="24" t="s">
        <v>288</v>
      </c>
      <c r="G118" s="24" t="s">
        <v>288</v>
      </c>
    </row>
    <row r="119" spans="1:7" x14ac:dyDescent="0.2">
      <c r="A119" t="s">
        <v>208</v>
      </c>
      <c r="B119" s="32" t="s">
        <v>209</v>
      </c>
      <c r="C119" s="95">
        <f>('DOE25'!L204)+('DOE25'!L222)+('DOE25'!L240)</f>
        <v>1573121.8</v>
      </c>
      <c r="D119" s="24" t="s">
        <v>288</v>
      </c>
      <c r="E119" s="95">
        <f>+('DOE25'!L283)+('DOE25'!L302)+('DOE25'!L321)</f>
        <v>127396.84000000001</v>
      </c>
      <c r="F119" s="24" t="s">
        <v>288</v>
      </c>
      <c r="G119" s="24" t="s">
        <v>288</v>
      </c>
    </row>
    <row r="120" spans="1:7" x14ac:dyDescent="0.2">
      <c r="A120" t="s">
        <v>210</v>
      </c>
      <c r="B120" s="32" t="s">
        <v>211</v>
      </c>
      <c r="C120" s="95">
        <f>('DOE25'!L205)+('DOE25'!L223)+('DOE25'!L241)</f>
        <v>1532622.1700000002</v>
      </c>
      <c r="D120" s="24" t="s">
        <v>288</v>
      </c>
      <c r="E120" s="95">
        <f>+('DOE25'!L284)+('DOE25'!L303)+('DOE25'!L322)</f>
        <v>20681.04</v>
      </c>
      <c r="F120" s="24" t="s">
        <v>288</v>
      </c>
      <c r="G120" s="24" t="s">
        <v>288</v>
      </c>
    </row>
    <row r="121" spans="1:7" x14ac:dyDescent="0.2">
      <c r="A121" t="s">
        <v>212</v>
      </c>
      <c r="B121" s="32" t="s">
        <v>213</v>
      </c>
      <c r="C121" s="95">
        <f>('DOE25'!L206)+('DOE25'!L224)+('DOE25'!L242)</f>
        <v>5020158.3</v>
      </c>
      <c r="D121" s="24" t="s">
        <v>288</v>
      </c>
      <c r="E121" s="95">
        <f>+('DOE25'!L285)+('DOE25'!L304)+('DOE25'!L323)</f>
        <v>0</v>
      </c>
      <c r="F121" s="24" t="s">
        <v>288</v>
      </c>
      <c r="G121" s="24" t="s">
        <v>288</v>
      </c>
    </row>
    <row r="122" spans="1:7" x14ac:dyDescent="0.2">
      <c r="A122" t="s">
        <v>214</v>
      </c>
      <c r="B122" s="32" t="s">
        <v>215</v>
      </c>
      <c r="C122" s="95">
        <f>('DOE25'!L207)+('DOE25'!L225)+('DOE25'!L243)</f>
        <v>674895</v>
      </c>
      <c r="D122" s="24" t="s">
        <v>288</v>
      </c>
      <c r="E122" s="95">
        <f>+('DOE25'!L286)+('DOE25'!L305)+('DOE25'!L324)</f>
        <v>0</v>
      </c>
      <c r="F122" s="24" t="s">
        <v>288</v>
      </c>
      <c r="G122" s="24" t="s">
        <v>288</v>
      </c>
    </row>
    <row r="123" spans="1:7" x14ac:dyDescent="0.2">
      <c r="A123" t="s">
        <v>216</v>
      </c>
      <c r="B123" s="32" t="s">
        <v>217</v>
      </c>
      <c r="C123" s="95">
        <f>('DOE25'!L208)+('DOE25'!L226)+('DOE25'!L244)</f>
        <v>4495793.5600000005</v>
      </c>
      <c r="D123" s="24" t="s">
        <v>288</v>
      </c>
      <c r="E123" s="95">
        <f>+('DOE25'!L287)+('DOE25'!L306)+('DOE25'!L325)</f>
        <v>13398.33</v>
      </c>
      <c r="F123" s="24" t="s">
        <v>288</v>
      </c>
      <c r="G123" s="24" t="s">
        <v>288</v>
      </c>
    </row>
    <row r="124" spans="1:7" x14ac:dyDescent="0.2">
      <c r="A124" t="s">
        <v>218</v>
      </c>
      <c r="B124" s="32" t="s">
        <v>219</v>
      </c>
      <c r="C124" s="95">
        <f>('DOE25'!L209)+('DOE25'!L227)+('DOE25'!L245+'DOE25'!L255)</f>
        <v>2709514.39</v>
      </c>
      <c r="D124" s="24" t="s">
        <v>288</v>
      </c>
      <c r="E124" s="95">
        <f>+('DOE25'!L288)+('DOE25'!L307)+('DOE25'!L326)</f>
        <v>0</v>
      </c>
      <c r="F124" s="24" t="s">
        <v>288</v>
      </c>
      <c r="G124" s="24" t="s">
        <v>288</v>
      </c>
    </row>
    <row r="125" spans="1:7" x14ac:dyDescent="0.2">
      <c r="A125" t="s">
        <v>220</v>
      </c>
      <c r="B125" s="32" t="s">
        <v>221</v>
      </c>
      <c r="C125" s="95">
        <f>('DOE25'!L210)+('DOE25'!L228)+('DOE25'!L246)</f>
        <v>107670.08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1564929.46</v>
      </c>
      <c r="E127" s="24" t="s">
        <v>288</v>
      </c>
      <c r="F127" s="24" t="s">
        <v>288</v>
      </c>
      <c r="G127" s="24" t="s">
        <v>288</v>
      </c>
    </row>
    <row r="128" spans="1:7" ht="12.75" thickTop="1" thickBot="1" x14ac:dyDescent="0.25">
      <c r="A128" s="33" t="s">
        <v>226</v>
      </c>
      <c r="C128" s="86">
        <f>SUM(C118:C127)</f>
        <v>20382015.949999999</v>
      </c>
      <c r="D128" s="86">
        <f>SUM(D118:D127)</f>
        <v>1564929.46</v>
      </c>
      <c r="E128" s="86">
        <f>SUM(E118:E127)</f>
        <v>451940.87000000005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1750000</v>
      </c>
      <c r="D131" s="24" t="s">
        <v>288</v>
      </c>
      <c r="E131" s="129">
        <f>'DOE25'!L342</f>
        <v>0</v>
      </c>
      <c r="F131" s="24" t="s">
        <v>288</v>
      </c>
      <c r="G131" s="24" t="s">
        <v>288</v>
      </c>
    </row>
    <row r="132" spans="1:7" x14ac:dyDescent="0.2">
      <c r="A132" t="s">
        <v>230</v>
      </c>
      <c r="B132" s="32">
        <v>5120</v>
      </c>
      <c r="C132" s="95">
        <f>'DOE25'!L262</f>
        <v>1130020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6660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2886680</v>
      </c>
      <c r="D144" s="141">
        <f>SUM(D130:D143)</f>
        <v>0</v>
      </c>
      <c r="E144" s="141">
        <f>SUM(E130:E143)</f>
        <v>0</v>
      </c>
      <c r="F144" s="141">
        <f>SUM(F130:F143)</f>
        <v>0</v>
      </c>
      <c r="G144" s="141">
        <f>SUM(G130:G143)</f>
        <v>0</v>
      </c>
    </row>
    <row r="145" spans="1:9" ht="12.75" thickTop="1" thickBot="1" x14ac:dyDescent="0.25">
      <c r="A145" s="33" t="s">
        <v>244</v>
      </c>
      <c r="C145" s="86">
        <f>(C115+C128+C144)</f>
        <v>67762892.739999995</v>
      </c>
      <c r="D145" s="86">
        <f>(D115+D128+D144)</f>
        <v>1564929.46</v>
      </c>
      <c r="E145" s="86">
        <f>(E115+E128+E144)</f>
        <v>1139961.9800000002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t="str">
        <f>'DOE25'!F492</f>
        <v>6/06</v>
      </c>
      <c r="C152" s="152" t="str">
        <f>'DOE25'!G492</f>
        <v>11/14</v>
      </c>
      <c r="D152" s="152">
        <f>'DOE25'!H492</f>
        <v>0</v>
      </c>
      <c r="E152" s="152">
        <f>'DOE25'!I492</f>
        <v>0</v>
      </c>
      <c r="F152" s="152">
        <f>'DOE25'!J492</f>
        <v>0</v>
      </c>
      <c r="G152" s="24" t="s">
        <v>288</v>
      </c>
    </row>
    <row r="153" spans="1:9" x14ac:dyDescent="0.2">
      <c r="A153" s="136" t="s">
        <v>29</v>
      </c>
      <c r="B153" s="152" t="str">
        <f>'DOE25'!F493</f>
        <v>7/26</v>
      </c>
      <c r="C153" s="152" t="str">
        <f>'DOE25'!G493</f>
        <v>07/29</v>
      </c>
      <c r="D153" s="152">
        <f>'DOE25'!H493</f>
        <v>0</v>
      </c>
      <c r="E153" s="152">
        <f>'DOE25'!I493</f>
        <v>0</v>
      </c>
      <c r="F153" s="152">
        <f>'DOE25'!J493</f>
        <v>0</v>
      </c>
      <c r="G153" s="24" t="s">
        <v>288</v>
      </c>
    </row>
    <row r="154" spans="1:9" x14ac:dyDescent="0.2">
      <c r="A154" s="136" t="s">
        <v>30</v>
      </c>
      <c r="B154" s="137">
        <f>'DOE25'!F494</f>
        <v>800000</v>
      </c>
      <c r="C154" s="137">
        <f>'DOE25'!G494</f>
        <v>32715000</v>
      </c>
      <c r="D154" s="137">
        <f>'DOE25'!H494</f>
        <v>0</v>
      </c>
      <c r="E154" s="137">
        <f>'DOE25'!I494</f>
        <v>0</v>
      </c>
      <c r="F154" s="137">
        <f>'DOE25'!J494</f>
        <v>0</v>
      </c>
      <c r="G154" s="24" t="s">
        <v>288</v>
      </c>
    </row>
    <row r="155" spans="1:9" x14ac:dyDescent="0.2">
      <c r="A155" s="136" t="s">
        <v>31</v>
      </c>
      <c r="B155" s="137">
        <f>'DOE25'!F495</f>
        <v>4.5199999999999996</v>
      </c>
      <c r="C155" s="137">
        <f>'DOE25'!G495</f>
        <v>2.63</v>
      </c>
      <c r="D155" s="137">
        <f>'DOE25'!H495</f>
        <v>0</v>
      </c>
      <c r="E155" s="137">
        <f>'DOE25'!I495</f>
        <v>0</v>
      </c>
      <c r="F155" s="137">
        <f>'DOE25'!J495</f>
        <v>0</v>
      </c>
      <c r="G155" s="24" t="s">
        <v>288</v>
      </c>
    </row>
    <row r="156" spans="1:9" x14ac:dyDescent="0.2">
      <c r="A156" s="22" t="s">
        <v>32</v>
      </c>
      <c r="B156" s="137">
        <f>'DOE25'!F496</f>
        <v>320000</v>
      </c>
      <c r="C156" s="137">
        <f>'DOE25'!G496</f>
        <v>24445000</v>
      </c>
      <c r="D156" s="137">
        <f>'DOE25'!H496</f>
        <v>0</v>
      </c>
      <c r="E156" s="137">
        <f>'DOE25'!I496</f>
        <v>0</v>
      </c>
      <c r="F156" s="137">
        <f>'DOE25'!J496</f>
        <v>0</v>
      </c>
      <c r="G156" s="138">
        <f>SUM(B156:F156)</f>
        <v>24765000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40000</v>
      </c>
      <c r="C158" s="137">
        <f>'DOE25'!G498</f>
        <v>1710000</v>
      </c>
      <c r="D158" s="137">
        <f>'DOE25'!H498</f>
        <v>0</v>
      </c>
      <c r="E158" s="137">
        <f>'DOE25'!I498</f>
        <v>0</v>
      </c>
      <c r="F158" s="137">
        <f>'DOE25'!J498</f>
        <v>0</v>
      </c>
      <c r="G158" s="138">
        <f t="shared" si="0"/>
        <v>1750000</v>
      </c>
    </row>
    <row r="159" spans="1:9" x14ac:dyDescent="0.2">
      <c r="A159" s="22" t="s">
        <v>35</v>
      </c>
      <c r="B159" s="137">
        <f>'DOE25'!F499</f>
        <v>280000</v>
      </c>
      <c r="C159" s="137">
        <f>'DOE25'!G499</f>
        <v>22735000</v>
      </c>
      <c r="D159" s="137">
        <f>'DOE25'!H499</f>
        <v>0</v>
      </c>
      <c r="E159" s="137">
        <f>'DOE25'!I499</f>
        <v>0</v>
      </c>
      <c r="F159" s="137">
        <f>'DOE25'!J499</f>
        <v>0</v>
      </c>
      <c r="G159" s="138">
        <f t="shared" si="0"/>
        <v>23015000</v>
      </c>
    </row>
    <row r="160" spans="1:9" x14ac:dyDescent="0.2">
      <c r="A160" s="22" t="s">
        <v>36</v>
      </c>
      <c r="B160" s="137">
        <f>'DOE25'!F500</f>
        <v>45065</v>
      </c>
      <c r="C160" s="137">
        <f>'DOE25'!G500</f>
        <v>5870350</v>
      </c>
      <c r="D160" s="137">
        <f>'DOE25'!H500</f>
        <v>0</v>
      </c>
      <c r="E160" s="137">
        <f>'DOE25'!I500</f>
        <v>0</v>
      </c>
      <c r="F160" s="137">
        <f>'DOE25'!J500</f>
        <v>0</v>
      </c>
      <c r="G160" s="138">
        <f t="shared" si="0"/>
        <v>5915415</v>
      </c>
    </row>
    <row r="161" spans="1:7" x14ac:dyDescent="0.2">
      <c r="A161" s="22" t="s">
        <v>37</v>
      </c>
      <c r="B161" s="137">
        <f>'DOE25'!F501</f>
        <v>325065</v>
      </c>
      <c r="C161" s="137">
        <f>'DOE25'!G501</f>
        <v>28605350</v>
      </c>
      <c r="D161" s="137">
        <f>'DOE25'!H501</f>
        <v>0</v>
      </c>
      <c r="E161" s="137">
        <f>'DOE25'!I501</f>
        <v>0</v>
      </c>
      <c r="F161" s="137">
        <f>'DOE25'!J501</f>
        <v>0</v>
      </c>
      <c r="G161" s="138">
        <f t="shared" si="0"/>
        <v>28930415</v>
      </c>
    </row>
    <row r="162" spans="1:7" x14ac:dyDescent="0.2">
      <c r="A162" s="22" t="s">
        <v>38</v>
      </c>
      <c r="B162" s="137">
        <f>'DOE25'!F502</f>
        <v>40000</v>
      </c>
      <c r="C162" s="137">
        <f>'DOE25'!G502</f>
        <v>1805000</v>
      </c>
      <c r="D162" s="137">
        <f>'DOE25'!H502</f>
        <v>0</v>
      </c>
      <c r="E162" s="137">
        <f>'DOE25'!I502</f>
        <v>0</v>
      </c>
      <c r="F162" s="137">
        <f>'DOE25'!J502</f>
        <v>0</v>
      </c>
      <c r="G162" s="138">
        <f t="shared" si="0"/>
        <v>1845000</v>
      </c>
    </row>
    <row r="163" spans="1:7" x14ac:dyDescent="0.2">
      <c r="A163" s="22" t="s">
        <v>39</v>
      </c>
      <c r="B163" s="137">
        <f>'DOE25'!F503</f>
        <v>11890</v>
      </c>
      <c r="C163" s="137">
        <f>'DOE25'!G503</f>
        <v>1054600</v>
      </c>
      <c r="D163" s="137">
        <f>'DOE25'!H503</f>
        <v>0</v>
      </c>
      <c r="E163" s="137">
        <f>'DOE25'!I503</f>
        <v>0</v>
      </c>
      <c r="F163" s="137">
        <f>'DOE25'!J503</f>
        <v>0</v>
      </c>
      <c r="G163" s="138">
        <f t="shared" si="0"/>
        <v>1066490</v>
      </c>
    </row>
    <row r="164" spans="1:7" x14ac:dyDescent="0.2">
      <c r="A164" s="22" t="s">
        <v>246</v>
      </c>
      <c r="B164" s="137">
        <f>'DOE25'!F504</f>
        <v>51890</v>
      </c>
      <c r="C164" s="137">
        <f>'DOE25'!G504</f>
        <v>2859600</v>
      </c>
      <c r="D164" s="137">
        <f>'DOE25'!H504</f>
        <v>0</v>
      </c>
      <c r="E164" s="137">
        <f>'DOE25'!I504</f>
        <v>0</v>
      </c>
      <c r="F164" s="137">
        <f>'DOE25'!J504</f>
        <v>0</v>
      </c>
      <c r="G164" s="138">
        <f t="shared" si="0"/>
        <v>2911490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8" t="s">
        <v>736</v>
      </c>
      <c r="B1" s="358"/>
      <c r="C1" s="358"/>
      <c r="D1" s="358"/>
    </row>
    <row r="2" spans="1:4" x14ac:dyDescent="0.2">
      <c r="A2" s="187" t="s">
        <v>713</v>
      </c>
      <c r="B2" s="186" t="str">
        <f>'DOE25'!A2</f>
        <v>Bedford School District</v>
      </c>
    </row>
    <row r="3" spans="1:4" x14ac:dyDescent="0.2">
      <c r="B3" s="188" t="s">
        <v>1587</v>
      </c>
    </row>
    <row r="4" spans="1:4" x14ac:dyDescent="0.2">
      <c r="B4" t="s">
        <v>61</v>
      </c>
      <c r="C4" s="179">
        <f>IF('DOE25'!F666+'DOE25'!F671=0,0,ROUND('DOE25'!F673,0))</f>
        <v>14499</v>
      </c>
    </row>
    <row r="5" spans="1:4" x14ac:dyDescent="0.2">
      <c r="B5" t="s">
        <v>700</v>
      </c>
      <c r="C5" s="179">
        <f>IF('DOE25'!G666+'DOE25'!G671=0,0,ROUND('DOE25'!G673,0))</f>
        <v>14001</v>
      </c>
    </row>
    <row r="6" spans="1:4" x14ac:dyDescent="0.2">
      <c r="B6" t="s">
        <v>62</v>
      </c>
      <c r="C6" s="179">
        <f>IF('DOE25'!H666+'DOE25'!H671=0,0,ROUND('DOE25'!H673,0))</f>
        <v>14069</v>
      </c>
    </row>
    <row r="7" spans="1:4" x14ac:dyDescent="0.2">
      <c r="B7" t="s">
        <v>701</v>
      </c>
      <c r="C7" s="179">
        <f>IF('DOE25'!I666+'DOE25'!I671=0,0,ROUND('DOE25'!I673,0))</f>
        <v>14265</v>
      </c>
    </row>
    <row r="9" spans="1:4" x14ac:dyDescent="0.2">
      <c r="A9" s="187" t="s">
        <v>94</v>
      </c>
      <c r="B9" s="188" t="s">
        <v>1588</v>
      </c>
      <c r="C9" s="181" t="s">
        <v>720</v>
      </c>
      <c r="D9" s="181" t="s">
        <v>721</v>
      </c>
    </row>
    <row r="10" spans="1:4" x14ac:dyDescent="0.2">
      <c r="A10">
        <v>1100</v>
      </c>
      <c r="B10" t="s">
        <v>702</v>
      </c>
      <c r="C10" s="179">
        <f>ROUND('DOE25'!L198+'DOE25'!L216+'DOE25'!L234+'DOE25'!L277+'DOE25'!L296+'DOE25'!L315,0)</f>
        <v>30377554</v>
      </c>
      <c r="D10" s="182">
        <f>ROUND((C10/$C$28)*100,1)</f>
        <v>44.9</v>
      </c>
    </row>
    <row r="11" spans="1:4" x14ac:dyDescent="0.2">
      <c r="A11">
        <v>1200</v>
      </c>
      <c r="B11" t="s">
        <v>703</v>
      </c>
      <c r="C11" s="179">
        <f>ROUND('DOE25'!L199+'DOE25'!L217+'DOE25'!L235+'DOE25'!L278+'DOE25'!L297+'DOE25'!L316,0)</f>
        <v>13281714</v>
      </c>
      <c r="D11" s="182">
        <f>ROUND((C11/$C$28)*100,1)</f>
        <v>19.7</v>
      </c>
    </row>
    <row r="12" spans="1:4" x14ac:dyDescent="0.2">
      <c r="A12">
        <v>1300</v>
      </c>
      <c r="B12" t="s">
        <v>704</v>
      </c>
      <c r="C12" s="179">
        <f>ROUND('DOE25'!L200+'DOE25'!L218+'DOE25'!L236+'DOE25'!L279+'DOE25'!L298+'DOE25'!L317,0)</f>
        <v>81047</v>
      </c>
      <c r="D12" s="182">
        <f>ROUND((C12/$C$28)*100,1)</f>
        <v>0.1</v>
      </c>
    </row>
    <row r="13" spans="1:4" x14ac:dyDescent="0.2">
      <c r="A13">
        <v>1400</v>
      </c>
      <c r="B13" t="s">
        <v>705</v>
      </c>
      <c r="C13" s="179">
        <f>ROUND('DOE25'!L201+'DOE25'!L219+'DOE25'!L237+'DOE25'!L280+'DOE25'!L299+'DOE25'!L318,0)</f>
        <v>1413656</v>
      </c>
      <c r="D13" s="182">
        <f>ROUND((C13/$C$28)*100,1)</f>
        <v>2.1</v>
      </c>
    </row>
    <row r="14" spans="1:4" x14ac:dyDescent="0.2">
      <c r="D14" s="182"/>
    </row>
    <row r="15" spans="1:4" x14ac:dyDescent="0.2">
      <c r="A15">
        <v>2100</v>
      </c>
      <c r="B15" t="s">
        <v>706</v>
      </c>
      <c r="C15" s="179">
        <f>ROUND('DOE25'!L203+'DOE25'!L221+'DOE25'!L239+'DOE25'!L282+'DOE25'!L301+'DOE25'!L320,0)</f>
        <v>4558705</v>
      </c>
      <c r="D15" s="182">
        <f t="shared" ref="D15:D27" si="0">ROUND((C15/$C$28)*100,1)</f>
        <v>6.7</v>
      </c>
    </row>
    <row r="16" spans="1:4" x14ac:dyDescent="0.2">
      <c r="A16">
        <v>2200</v>
      </c>
      <c r="B16" t="s">
        <v>707</v>
      </c>
      <c r="C16" s="179">
        <f>ROUND('DOE25'!L204+'DOE25'!L222+'DOE25'!L240+'DOE25'!L283+'DOE25'!L302+'DOE25'!L321,0)</f>
        <v>1700519</v>
      </c>
      <c r="D16" s="182">
        <f t="shared" si="0"/>
        <v>2.5</v>
      </c>
    </row>
    <row r="17" spans="1:4" x14ac:dyDescent="0.2">
      <c r="A17" s="183" t="s">
        <v>723</v>
      </c>
      <c r="B17" t="s">
        <v>738</v>
      </c>
      <c r="C17" s="179">
        <f>ROUND('DOE25'!L205+'DOE25'!L210+'DOE25'!L223+'DOE25'!L228+'DOE25'!L241+'DOE25'!L246+'DOE25'!L284+'DOE25'!L289+'DOE25'!L303+'DOE25'!L308+'DOE25'!L322+'DOE25'!L327,0)</f>
        <v>1660973</v>
      </c>
      <c r="D17" s="182">
        <f t="shared" si="0"/>
        <v>2.5</v>
      </c>
    </row>
    <row r="18" spans="1:4" x14ac:dyDescent="0.2">
      <c r="A18">
        <v>2400</v>
      </c>
      <c r="B18" t="s">
        <v>711</v>
      </c>
      <c r="C18" s="179">
        <f>ROUND('DOE25'!L206+'DOE25'!L224+'DOE25'!L242+'DOE25'!L285+'DOE25'!L304+'DOE25'!L323,0)</f>
        <v>5020158</v>
      </c>
      <c r="D18" s="182">
        <f t="shared" si="0"/>
        <v>7.4</v>
      </c>
    </row>
    <row r="19" spans="1:4" x14ac:dyDescent="0.2">
      <c r="A19">
        <v>2500</v>
      </c>
      <c r="B19" t="s">
        <v>708</v>
      </c>
      <c r="C19" s="179">
        <f>ROUND('DOE25'!L207+'DOE25'!L225+'DOE25'!L243+'DOE25'!L286+'DOE25'!L305+'DOE25'!L324,0)</f>
        <v>674895</v>
      </c>
      <c r="D19" s="182">
        <f t="shared" si="0"/>
        <v>1</v>
      </c>
    </row>
    <row r="20" spans="1:4" x14ac:dyDescent="0.2">
      <c r="A20">
        <v>2600</v>
      </c>
      <c r="B20" t="s">
        <v>709</v>
      </c>
      <c r="C20" s="179">
        <f>ROUND('DOE25'!L208+'DOE25'!L226+'DOE25'!L244+'DOE25'!L287+'DOE25'!L306+'DOE25'!L325,0)</f>
        <v>4509192</v>
      </c>
      <c r="D20" s="182">
        <f t="shared" si="0"/>
        <v>6.7</v>
      </c>
    </row>
    <row r="21" spans="1:4" x14ac:dyDescent="0.2">
      <c r="A21">
        <v>2700</v>
      </c>
      <c r="B21" t="s">
        <v>710</v>
      </c>
      <c r="C21" s="179">
        <f>ROUND('DOE25'!L209+'DOE25'!L227+'DOE25'!L245+'DOE25'!L288+'DOE25'!L307+'DOE25'!L326,0)</f>
        <v>2709514</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28248</v>
      </c>
      <c r="D24" s="182">
        <f t="shared" si="0"/>
        <v>0</v>
      </c>
    </row>
    <row r="25" spans="1:4" x14ac:dyDescent="0.2">
      <c r="A25">
        <v>5120</v>
      </c>
      <c r="B25" t="s">
        <v>716</v>
      </c>
      <c r="C25" s="179">
        <f>ROUND('DOE25'!L262+'DOE25'!L343,0)</f>
        <v>1130020</v>
      </c>
      <c r="D25" s="182">
        <f t="shared" si="0"/>
        <v>1.7</v>
      </c>
    </row>
    <row r="26" spans="1:4" x14ac:dyDescent="0.2">
      <c r="A26" s="183" t="s">
        <v>717</v>
      </c>
      <c r="B26" t="s">
        <v>718</v>
      </c>
      <c r="C26" s="179">
        <f>'DOE25'!L269+'DOE25'!L270+'DOE25'!L350+'DOE25'!L351</f>
        <v>6660</v>
      </c>
      <c r="D26" s="182">
        <f t="shared" si="0"/>
        <v>0</v>
      </c>
    </row>
    <row r="27" spans="1:4" x14ac:dyDescent="0.2">
      <c r="A27">
        <v>3100</v>
      </c>
      <c r="B27" t="s">
        <v>11</v>
      </c>
      <c r="C27" s="179">
        <f>ROUND('DOE25'!L363-'DOE25'!L362,0)-SUM('DOE25'!G97:G110)</f>
        <v>437357.39999999991</v>
      </c>
      <c r="D27" s="182">
        <f t="shared" si="0"/>
        <v>0.6</v>
      </c>
    </row>
    <row r="28" spans="1:4" x14ac:dyDescent="0.2">
      <c r="B28" s="187" t="s">
        <v>719</v>
      </c>
      <c r="C28" s="180">
        <f>SUM(C10:C27)</f>
        <v>67590212.400000006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67590212.400000006</v>
      </c>
    </row>
    <row r="31" spans="1:4" x14ac:dyDescent="0.2">
      <c r="B31" s="33"/>
      <c r="C31" s="180"/>
    </row>
    <row r="32" spans="1:4" x14ac:dyDescent="0.2">
      <c r="A32">
        <v>5100</v>
      </c>
      <c r="B32" s="33" t="s">
        <v>726</v>
      </c>
      <c r="C32" s="180">
        <f>ROUND('DOE25'!L261+'DOE25'!L342,0)</f>
        <v>1750000</v>
      </c>
    </row>
    <row r="34" spans="1:4" x14ac:dyDescent="0.2">
      <c r="A34" s="187" t="s">
        <v>94</v>
      </c>
      <c r="B34" s="188" t="s">
        <v>1589</v>
      </c>
      <c r="C34" s="181" t="s">
        <v>720</v>
      </c>
      <c r="D34" s="181" t="s">
        <v>721</v>
      </c>
    </row>
    <row r="35" spans="1:4" x14ac:dyDescent="0.2">
      <c r="A35">
        <v>1100</v>
      </c>
      <c r="B35" s="185" t="s">
        <v>727</v>
      </c>
      <c r="C35" s="179">
        <f>ROUND('DOE25'!F60+'DOE25'!G60+'DOE25'!H60+'DOE25'!I60+'DOE25'!J60,0)</f>
        <v>47187589</v>
      </c>
      <c r="D35" s="182">
        <f t="shared" ref="D35:D40" si="1">ROUND((C35/$C$41)*100,1)</f>
        <v>68.2</v>
      </c>
    </row>
    <row r="36" spans="1:4" x14ac:dyDescent="0.2">
      <c r="B36" s="185" t="s">
        <v>739</v>
      </c>
      <c r="C36" s="179">
        <f>SUM('DOE25'!F112:J112)-SUM('DOE25'!G97:G110)+('DOE25'!F175+'DOE25'!F176+'DOE25'!I175+'DOE25'!I176)-C35</f>
        <v>1379937.9900000021</v>
      </c>
      <c r="D36" s="182">
        <f t="shared" si="1"/>
        <v>2</v>
      </c>
    </row>
    <row r="37" spans="1:4" x14ac:dyDescent="0.2">
      <c r="A37" s="183" t="s">
        <v>835</v>
      </c>
      <c r="B37" s="185" t="s">
        <v>728</v>
      </c>
      <c r="C37" s="179">
        <f>ROUND('DOE25'!F117+'DOE25'!F118,0)</f>
        <v>17822316</v>
      </c>
      <c r="D37" s="182">
        <f t="shared" si="1"/>
        <v>25.8</v>
      </c>
    </row>
    <row r="38" spans="1:4" x14ac:dyDescent="0.2">
      <c r="A38" s="183" t="s">
        <v>734</v>
      </c>
      <c r="B38" s="185" t="s">
        <v>729</v>
      </c>
      <c r="C38" s="179">
        <f>ROUND(SUM('DOE25'!F140:J140)-SUM('DOE25'!F117:F119),0)</f>
        <v>1456798</v>
      </c>
      <c r="D38" s="182">
        <f t="shared" si="1"/>
        <v>2.1</v>
      </c>
    </row>
    <row r="39" spans="1:4" x14ac:dyDescent="0.2">
      <c r="A39">
        <v>4000</v>
      </c>
      <c r="B39" s="185" t="s">
        <v>730</v>
      </c>
      <c r="C39" s="179">
        <f>ROUND('DOE25'!F170+'DOE25'!G170+'DOE25'!H170+'DOE25'!I170,0)</f>
        <v>1307478</v>
      </c>
      <c r="D39" s="182">
        <f t="shared" si="1"/>
        <v>1.9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69154118.99000001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17"/>
  </sheetPr>
  <dimension ref="A1:IV90"/>
  <sheetViews>
    <sheetView workbookViewId="0">
      <pane ySplit="3" topLeftCell="A4" activePane="bottomLeft" state="frozen"/>
      <selection activeCell="F46" sqref="F46"/>
      <selection pane="bottomLeft" activeCell="C15" sqref="C15:M15"/>
    </sheetView>
  </sheetViews>
  <sheetFormatPr defaultRowHeight="11.25" x14ac:dyDescent="0.2"/>
  <cols>
    <col min="1" max="1" width="10.33203125" customWidth="1"/>
    <col min="14" max="14" width="6.1640625" customWidth="1"/>
  </cols>
  <sheetData>
    <row r="1" spans="1:26" ht="16.5" thickTop="1" x14ac:dyDescent="0.25">
      <c r="A1" s="369" t="s">
        <v>766</v>
      </c>
      <c r="B1" s="370"/>
      <c r="C1" s="370"/>
      <c r="D1" s="370"/>
      <c r="E1" s="370"/>
      <c r="F1" s="370"/>
      <c r="G1" s="370"/>
      <c r="H1" s="370"/>
      <c r="I1" s="370"/>
      <c r="J1" s="213"/>
      <c r="K1" s="213"/>
      <c r="L1" s="213"/>
      <c r="M1" s="214"/>
    </row>
    <row r="2" spans="1:26" ht="12.75" x14ac:dyDescent="0.2">
      <c r="A2" s="375" t="s">
        <v>763</v>
      </c>
      <c r="B2" s="376"/>
      <c r="C2" s="376"/>
      <c r="D2" s="376"/>
      <c r="E2" s="376"/>
      <c r="F2" s="373" t="str">
        <f>'DOE25'!A2</f>
        <v>Bedford School District</v>
      </c>
      <c r="G2" s="374"/>
      <c r="H2" s="374"/>
      <c r="I2" s="374"/>
      <c r="J2" s="52"/>
      <c r="K2" s="52"/>
      <c r="L2" s="52"/>
      <c r="M2" s="215"/>
    </row>
    <row r="3" spans="1:26" x14ac:dyDescent="0.2">
      <c r="A3" s="216" t="s">
        <v>764</v>
      </c>
      <c r="B3" s="217" t="s">
        <v>765</v>
      </c>
      <c r="C3" s="371" t="s">
        <v>767</v>
      </c>
      <c r="D3" s="371"/>
      <c r="E3" s="371"/>
      <c r="F3" s="371"/>
      <c r="G3" s="371"/>
      <c r="H3" s="371"/>
      <c r="I3" s="371"/>
      <c r="J3" s="371"/>
      <c r="K3" s="371"/>
      <c r="L3" s="371"/>
      <c r="M3" s="372"/>
    </row>
    <row r="4" spans="1:26" x14ac:dyDescent="0.2">
      <c r="A4" s="218">
        <v>4</v>
      </c>
      <c r="B4" s="219">
        <v>11</v>
      </c>
      <c r="C4" s="360" t="s">
        <v>1642</v>
      </c>
      <c r="D4" s="360"/>
      <c r="E4" s="360"/>
      <c r="F4" s="360"/>
      <c r="G4" s="360"/>
      <c r="H4" s="360"/>
      <c r="I4" s="360"/>
      <c r="J4" s="360"/>
      <c r="K4" s="360"/>
      <c r="L4" s="360"/>
      <c r="M4" s="361"/>
      <c r="N4" s="126"/>
      <c r="O4" s="126"/>
      <c r="P4" s="126"/>
      <c r="Q4" s="126"/>
      <c r="R4" s="126"/>
      <c r="S4" s="126"/>
      <c r="T4" s="126"/>
      <c r="U4" s="126"/>
      <c r="V4" s="126"/>
      <c r="W4" s="126"/>
      <c r="X4" s="126"/>
      <c r="Y4" s="126"/>
      <c r="Z4" s="126"/>
    </row>
    <row r="5" spans="1:26" x14ac:dyDescent="0.2">
      <c r="A5" s="218">
        <v>4</v>
      </c>
      <c r="B5" s="219">
        <v>4</v>
      </c>
      <c r="C5" s="360" t="s">
        <v>1643</v>
      </c>
      <c r="D5" s="360"/>
      <c r="E5" s="360"/>
      <c r="F5" s="360"/>
      <c r="G5" s="360"/>
      <c r="H5" s="360"/>
      <c r="I5" s="360"/>
      <c r="J5" s="360"/>
      <c r="K5" s="360"/>
      <c r="L5" s="360"/>
      <c r="M5" s="361"/>
      <c r="N5" s="126"/>
      <c r="O5" s="126"/>
      <c r="P5" s="126"/>
      <c r="Q5" s="126"/>
      <c r="R5" s="126"/>
      <c r="S5" s="126"/>
      <c r="T5" s="126"/>
      <c r="U5" s="126"/>
      <c r="V5" s="126"/>
      <c r="W5" s="126"/>
      <c r="X5" s="126"/>
      <c r="Y5" s="126"/>
      <c r="Z5" s="126"/>
    </row>
    <row r="6" spans="1:26" x14ac:dyDescent="0.2">
      <c r="A6" s="218"/>
      <c r="B6" s="219"/>
      <c r="C6" s="360"/>
      <c r="D6" s="360"/>
      <c r="E6" s="360"/>
      <c r="F6" s="360"/>
      <c r="G6" s="360"/>
      <c r="H6" s="360"/>
      <c r="I6" s="360"/>
      <c r="J6" s="360"/>
      <c r="K6" s="360"/>
      <c r="L6" s="360"/>
      <c r="M6" s="361"/>
      <c r="N6" s="126"/>
      <c r="O6" s="126"/>
      <c r="P6" s="126"/>
      <c r="Q6" s="126"/>
      <c r="R6" s="126"/>
      <c r="S6" s="126"/>
      <c r="T6" s="126"/>
      <c r="U6" s="126"/>
      <c r="V6" s="126"/>
      <c r="W6" s="126"/>
      <c r="X6" s="126"/>
      <c r="Y6" s="126"/>
      <c r="Z6" s="126"/>
    </row>
    <row r="7" spans="1:26" x14ac:dyDescent="0.2">
      <c r="A7" s="218"/>
      <c r="B7" s="219"/>
      <c r="C7" s="360" t="s">
        <v>1651</v>
      </c>
      <c r="D7" s="360"/>
      <c r="E7" s="360"/>
      <c r="F7" s="360"/>
      <c r="G7" s="360"/>
      <c r="H7" s="360"/>
      <c r="I7" s="360"/>
      <c r="J7" s="360"/>
      <c r="K7" s="360"/>
      <c r="L7" s="360"/>
      <c r="M7" s="361"/>
      <c r="N7" s="126"/>
      <c r="O7" s="126"/>
      <c r="P7" s="126"/>
      <c r="Q7" s="126"/>
      <c r="R7" s="126"/>
      <c r="S7" s="126"/>
      <c r="T7" s="126"/>
      <c r="U7" s="126"/>
      <c r="V7" s="126"/>
      <c r="W7" s="126"/>
      <c r="X7" s="126"/>
      <c r="Y7" s="126"/>
      <c r="Z7" s="126"/>
    </row>
    <row r="8" spans="1:26" x14ac:dyDescent="0.2">
      <c r="A8" s="218"/>
      <c r="B8" s="219"/>
      <c r="C8" s="360"/>
      <c r="D8" s="360"/>
      <c r="E8" s="360"/>
      <c r="F8" s="360"/>
      <c r="G8" s="360"/>
      <c r="H8" s="360"/>
      <c r="I8" s="360"/>
      <c r="J8" s="360"/>
      <c r="K8" s="360"/>
      <c r="L8" s="360"/>
      <c r="M8" s="361"/>
      <c r="N8" s="126"/>
      <c r="O8" s="126"/>
      <c r="P8" s="126"/>
      <c r="Q8" s="126"/>
      <c r="R8" s="126"/>
      <c r="S8" s="126"/>
      <c r="T8" s="126"/>
      <c r="U8" s="126"/>
      <c r="V8" s="126"/>
      <c r="W8" s="126"/>
      <c r="X8" s="126"/>
      <c r="Y8" s="126"/>
      <c r="Z8" s="126"/>
    </row>
    <row r="9" spans="1:26" x14ac:dyDescent="0.2">
      <c r="A9" s="218"/>
      <c r="B9" s="219"/>
      <c r="C9" s="360"/>
      <c r="D9" s="360"/>
      <c r="E9" s="360"/>
      <c r="F9" s="360"/>
      <c r="G9" s="360"/>
      <c r="H9" s="360"/>
      <c r="I9" s="360"/>
      <c r="J9" s="360"/>
      <c r="K9" s="360"/>
      <c r="L9" s="360"/>
      <c r="M9" s="361"/>
      <c r="N9" s="126"/>
      <c r="O9" s="126"/>
      <c r="P9" s="126"/>
      <c r="Q9" s="126"/>
      <c r="R9" s="126"/>
      <c r="S9" s="126"/>
      <c r="T9" s="126"/>
      <c r="U9" s="126"/>
      <c r="V9" s="126"/>
      <c r="W9" s="126"/>
      <c r="X9" s="126"/>
      <c r="Y9" s="126"/>
      <c r="Z9" s="126"/>
    </row>
    <row r="10" spans="1:26" x14ac:dyDescent="0.2">
      <c r="A10" s="218"/>
      <c r="B10" s="219"/>
      <c r="C10" s="360"/>
      <c r="D10" s="360"/>
      <c r="E10" s="360"/>
      <c r="F10" s="360"/>
      <c r="G10" s="360"/>
      <c r="H10" s="360"/>
      <c r="I10" s="360"/>
      <c r="J10" s="360"/>
      <c r="K10" s="360"/>
      <c r="L10" s="360"/>
      <c r="M10" s="361"/>
      <c r="N10" s="126"/>
      <c r="O10" s="126"/>
      <c r="P10" s="126"/>
      <c r="Q10" s="126"/>
      <c r="R10" s="126"/>
      <c r="S10" s="126"/>
      <c r="T10" s="126"/>
      <c r="U10" s="126"/>
      <c r="V10" s="126"/>
      <c r="W10" s="126"/>
      <c r="X10" s="126"/>
      <c r="Y10" s="126"/>
      <c r="Z10" s="126"/>
    </row>
    <row r="11" spans="1:26" x14ac:dyDescent="0.2">
      <c r="A11" s="218"/>
      <c r="B11" s="219"/>
      <c r="C11" s="360"/>
      <c r="D11" s="360"/>
      <c r="E11" s="360"/>
      <c r="F11" s="360"/>
      <c r="G11" s="360"/>
      <c r="H11" s="360"/>
      <c r="I11" s="360"/>
      <c r="J11" s="360"/>
      <c r="K11" s="360"/>
      <c r="L11" s="360"/>
      <c r="M11" s="361"/>
      <c r="N11" s="126"/>
      <c r="O11" s="126"/>
      <c r="P11" s="126"/>
      <c r="Q11" s="126"/>
      <c r="R11" s="126"/>
      <c r="S11" s="126"/>
      <c r="T11" s="126"/>
      <c r="U11" s="126"/>
      <c r="V11" s="126"/>
      <c r="W11" s="126"/>
      <c r="X11" s="126"/>
      <c r="Y11" s="126"/>
      <c r="Z11" s="126"/>
    </row>
    <row r="12" spans="1:26" x14ac:dyDescent="0.2">
      <c r="A12" s="218"/>
      <c r="B12" s="219"/>
      <c r="C12" s="360"/>
      <c r="D12" s="360"/>
      <c r="E12" s="360"/>
      <c r="F12" s="360"/>
      <c r="G12" s="360"/>
      <c r="H12" s="360"/>
      <c r="I12" s="360"/>
      <c r="J12" s="360"/>
      <c r="K12" s="360"/>
      <c r="L12" s="360"/>
      <c r="M12" s="361"/>
      <c r="N12" s="126"/>
      <c r="O12" s="126"/>
      <c r="P12" s="126"/>
      <c r="Q12" s="126"/>
      <c r="R12" s="126"/>
      <c r="S12" s="126"/>
      <c r="T12" s="126"/>
      <c r="U12" s="126"/>
      <c r="V12" s="126"/>
      <c r="W12" s="126"/>
      <c r="X12" s="126"/>
      <c r="Y12" s="126"/>
      <c r="Z12" s="126"/>
    </row>
    <row r="13" spans="1:26" x14ac:dyDescent="0.2">
      <c r="A13" s="218"/>
      <c r="B13" s="219"/>
      <c r="C13" s="360"/>
      <c r="D13" s="360"/>
      <c r="E13" s="360"/>
      <c r="F13" s="360"/>
      <c r="G13" s="360"/>
      <c r="H13" s="360"/>
      <c r="I13" s="360"/>
      <c r="J13" s="360"/>
      <c r="K13" s="360"/>
      <c r="L13" s="360"/>
      <c r="M13" s="361"/>
      <c r="N13" s="126"/>
      <c r="O13" s="126"/>
      <c r="P13" s="126"/>
      <c r="Q13" s="126"/>
      <c r="R13" s="126"/>
      <c r="S13" s="126"/>
      <c r="T13" s="126"/>
      <c r="U13" s="126"/>
      <c r="V13" s="126"/>
      <c r="W13" s="126"/>
      <c r="X13" s="126"/>
      <c r="Y13" s="126"/>
      <c r="Z13" s="126"/>
    </row>
    <row r="14" spans="1:26" x14ac:dyDescent="0.2">
      <c r="A14" s="218"/>
      <c r="B14" s="219"/>
      <c r="C14" s="360"/>
      <c r="D14" s="360"/>
      <c r="E14" s="360"/>
      <c r="F14" s="360"/>
      <c r="G14" s="360"/>
      <c r="H14" s="360"/>
      <c r="I14" s="360"/>
      <c r="J14" s="360"/>
      <c r="K14" s="360"/>
      <c r="L14" s="360"/>
      <c r="M14" s="361"/>
      <c r="N14" s="126"/>
      <c r="O14" s="126"/>
      <c r="P14" s="126"/>
      <c r="Q14" s="126"/>
      <c r="R14" s="126"/>
      <c r="S14" s="126"/>
      <c r="T14" s="126"/>
      <c r="U14" s="126"/>
      <c r="V14" s="126"/>
      <c r="W14" s="126"/>
      <c r="X14" s="126"/>
      <c r="Y14" s="126"/>
      <c r="Z14" s="126"/>
    </row>
    <row r="15" spans="1:26" x14ac:dyDescent="0.2">
      <c r="A15" s="218"/>
      <c r="B15" s="219"/>
      <c r="C15" s="360"/>
      <c r="D15" s="360"/>
      <c r="E15" s="360"/>
      <c r="F15" s="360"/>
      <c r="G15" s="360"/>
      <c r="H15" s="360"/>
      <c r="I15" s="360"/>
      <c r="J15" s="360"/>
      <c r="K15" s="360"/>
      <c r="L15" s="360"/>
      <c r="M15" s="361"/>
      <c r="N15" s="126"/>
      <c r="O15" s="126"/>
      <c r="P15" s="126"/>
      <c r="Q15" s="126"/>
      <c r="R15" s="126"/>
      <c r="S15" s="126"/>
      <c r="T15" s="126"/>
      <c r="U15" s="126"/>
      <c r="V15" s="126"/>
      <c r="W15" s="126"/>
      <c r="X15" s="126"/>
      <c r="Y15" s="126"/>
      <c r="Z15" s="126"/>
    </row>
    <row r="16" spans="1:26" x14ac:dyDescent="0.2">
      <c r="A16" s="218"/>
      <c r="B16" s="219"/>
      <c r="C16" s="360"/>
      <c r="D16" s="360"/>
      <c r="E16" s="360"/>
      <c r="F16" s="360"/>
      <c r="G16" s="360"/>
      <c r="H16" s="360"/>
      <c r="I16" s="360"/>
      <c r="J16" s="360"/>
      <c r="K16" s="360"/>
      <c r="L16" s="360"/>
      <c r="M16" s="361"/>
      <c r="N16" s="126"/>
      <c r="O16" s="126"/>
      <c r="P16" s="126"/>
      <c r="Q16" s="126"/>
      <c r="R16" s="126"/>
      <c r="S16" s="126"/>
      <c r="T16" s="126"/>
      <c r="U16" s="126"/>
      <c r="V16" s="126"/>
      <c r="W16" s="126"/>
      <c r="X16" s="126"/>
      <c r="Y16" s="126"/>
      <c r="Z16" s="126"/>
    </row>
    <row r="17" spans="1:256" x14ac:dyDescent="0.2">
      <c r="A17" s="218"/>
      <c r="B17" s="219"/>
      <c r="C17" s="360"/>
      <c r="D17" s="360"/>
      <c r="E17" s="360"/>
      <c r="F17" s="360"/>
      <c r="G17" s="360"/>
      <c r="H17" s="360"/>
      <c r="I17" s="360"/>
      <c r="J17" s="360"/>
      <c r="K17" s="360"/>
      <c r="L17" s="360"/>
      <c r="M17" s="361"/>
      <c r="N17" s="126"/>
      <c r="O17" s="126"/>
      <c r="P17" s="126"/>
      <c r="Q17" s="126"/>
      <c r="R17" s="126"/>
      <c r="S17" s="126"/>
      <c r="T17" s="126"/>
      <c r="U17" s="126"/>
      <c r="V17" s="126"/>
      <c r="W17" s="126"/>
      <c r="X17" s="126"/>
      <c r="Y17" s="126"/>
      <c r="Z17" s="126"/>
    </row>
    <row r="18" spans="1:256" x14ac:dyDescent="0.2">
      <c r="A18" s="218"/>
      <c r="B18" s="219"/>
      <c r="C18" s="360"/>
      <c r="D18" s="360"/>
      <c r="E18" s="360"/>
      <c r="F18" s="360"/>
      <c r="G18" s="360"/>
      <c r="H18" s="360"/>
      <c r="I18" s="360"/>
      <c r="J18" s="360"/>
      <c r="K18" s="360"/>
      <c r="L18" s="360"/>
      <c r="M18" s="361"/>
      <c r="N18" s="126"/>
      <c r="O18" s="126"/>
      <c r="P18" s="126"/>
      <c r="Q18" s="126"/>
      <c r="R18" s="126"/>
      <c r="S18" s="126"/>
      <c r="T18" s="126"/>
      <c r="U18" s="126"/>
      <c r="V18" s="126"/>
      <c r="W18" s="126"/>
      <c r="X18" s="126"/>
      <c r="Y18" s="126"/>
      <c r="Z18" s="126"/>
    </row>
    <row r="19" spans="1:256" x14ac:dyDescent="0.2">
      <c r="A19" s="218"/>
      <c r="B19" s="219"/>
      <c r="C19" s="360"/>
      <c r="D19" s="360"/>
      <c r="E19" s="360"/>
      <c r="F19" s="360"/>
      <c r="G19" s="360"/>
      <c r="H19" s="360"/>
      <c r="I19" s="360"/>
      <c r="J19" s="360"/>
      <c r="K19" s="360"/>
      <c r="L19" s="360"/>
      <c r="M19" s="361"/>
      <c r="N19" s="126"/>
      <c r="O19" s="126"/>
      <c r="P19" s="126"/>
      <c r="Q19" s="126"/>
      <c r="R19" s="126"/>
      <c r="S19" s="126"/>
      <c r="T19" s="126"/>
      <c r="U19" s="126"/>
      <c r="V19" s="126"/>
      <c r="W19" s="126"/>
      <c r="X19" s="126"/>
      <c r="Y19" s="126"/>
      <c r="Z19" s="126"/>
    </row>
    <row r="20" spans="1:256" x14ac:dyDescent="0.2">
      <c r="A20" s="218"/>
      <c r="B20" s="219"/>
      <c r="C20" s="360"/>
      <c r="D20" s="360"/>
      <c r="E20" s="360"/>
      <c r="F20" s="360"/>
      <c r="G20" s="360"/>
      <c r="H20" s="360"/>
      <c r="I20" s="360"/>
      <c r="J20" s="360"/>
      <c r="K20" s="360"/>
      <c r="L20" s="360"/>
      <c r="M20" s="361"/>
      <c r="N20" s="126"/>
      <c r="O20" s="126"/>
      <c r="P20" s="126"/>
      <c r="Q20" s="126"/>
      <c r="R20" s="126"/>
      <c r="S20" s="126"/>
      <c r="T20" s="126"/>
      <c r="U20" s="126"/>
      <c r="V20" s="126"/>
      <c r="W20" s="126"/>
      <c r="X20" s="126"/>
      <c r="Y20" s="126"/>
      <c r="Z20" s="126"/>
    </row>
    <row r="21" spans="1:256" x14ac:dyDescent="0.2">
      <c r="A21" s="218"/>
      <c r="B21" s="219"/>
      <c r="C21" s="360"/>
      <c r="D21" s="360"/>
      <c r="E21" s="360"/>
      <c r="F21" s="360"/>
      <c r="G21" s="360"/>
      <c r="H21" s="360"/>
      <c r="I21" s="360"/>
      <c r="J21" s="360"/>
      <c r="K21" s="360"/>
      <c r="L21" s="360"/>
      <c r="M21" s="361"/>
      <c r="N21" s="126"/>
      <c r="O21" s="126"/>
      <c r="P21" s="126"/>
      <c r="Q21" s="126"/>
      <c r="R21" s="126"/>
      <c r="S21" s="126"/>
      <c r="T21" s="126"/>
      <c r="U21" s="126"/>
      <c r="V21" s="126"/>
      <c r="W21" s="126"/>
      <c r="X21" s="126"/>
      <c r="Y21" s="126"/>
      <c r="Z21" s="126"/>
    </row>
    <row r="22" spans="1:256" x14ac:dyDescent="0.2">
      <c r="A22" s="218"/>
      <c r="B22" s="219"/>
      <c r="C22" s="360"/>
      <c r="D22" s="360"/>
      <c r="E22" s="360"/>
      <c r="F22" s="360"/>
      <c r="G22" s="360"/>
      <c r="H22" s="360"/>
      <c r="I22" s="360"/>
      <c r="J22" s="360"/>
      <c r="K22" s="360"/>
      <c r="L22" s="360"/>
      <c r="M22" s="361"/>
      <c r="N22" s="126"/>
      <c r="O22" s="126"/>
      <c r="P22" s="126"/>
      <c r="Q22" s="126"/>
      <c r="R22" s="126"/>
      <c r="S22" s="126"/>
      <c r="T22" s="126"/>
      <c r="U22" s="126"/>
      <c r="V22" s="126"/>
      <c r="W22" s="126"/>
      <c r="X22" s="126"/>
      <c r="Y22" s="126"/>
      <c r="Z22" s="126"/>
    </row>
    <row r="23" spans="1:256" x14ac:dyDescent="0.2">
      <c r="A23" s="218"/>
      <c r="B23" s="219"/>
      <c r="C23" s="360"/>
      <c r="D23" s="360"/>
      <c r="E23" s="360"/>
      <c r="F23" s="360"/>
      <c r="G23" s="360"/>
      <c r="H23" s="360"/>
      <c r="I23" s="360"/>
      <c r="J23" s="360"/>
      <c r="K23" s="360"/>
      <c r="L23" s="360"/>
      <c r="M23" s="361"/>
      <c r="N23" s="126"/>
      <c r="O23" s="126"/>
      <c r="P23" s="126"/>
      <c r="Q23" s="126"/>
      <c r="R23" s="126"/>
      <c r="S23" s="126"/>
      <c r="T23" s="126"/>
      <c r="U23" s="126"/>
      <c r="V23" s="126"/>
      <c r="W23" s="126"/>
      <c r="X23" s="126"/>
      <c r="Y23" s="126"/>
      <c r="Z23" s="126"/>
    </row>
    <row r="24" spans="1:256" x14ac:dyDescent="0.2">
      <c r="A24" s="218"/>
      <c r="B24" s="219"/>
      <c r="C24" s="360"/>
      <c r="D24" s="360"/>
      <c r="E24" s="360"/>
      <c r="F24" s="360"/>
      <c r="G24" s="360"/>
      <c r="H24" s="360"/>
      <c r="I24" s="360"/>
      <c r="J24" s="360"/>
      <c r="K24" s="360"/>
      <c r="L24" s="360"/>
      <c r="M24" s="361"/>
      <c r="N24" s="126"/>
      <c r="O24" s="126"/>
      <c r="P24" s="126"/>
      <c r="Q24" s="126"/>
      <c r="R24" s="126"/>
      <c r="S24" s="126"/>
      <c r="T24" s="126"/>
      <c r="U24" s="126"/>
      <c r="V24" s="126"/>
      <c r="W24" s="126"/>
      <c r="X24" s="126"/>
      <c r="Y24" s="126"/>
      <c r="Z24" s="126"/>
    </row>
    <row r="25" spans="1:256" x14ac:dyDescent="0.2">
      <c r="A25" s="218"/>
      <c r="B25" s="219"/>
      <c r="C25" s="360"/>
      <c r="D25" s="360"/>
      <c r="E25" s="360"/>
      <c r="F25" s="360"/>
      <c r="G25" s="360"/>
      <c r="H25" s="360"/>
      <c r="I25" s="360"/>
      <c r="J25" s="360"/>
      <c r="K25" s="360"/>
      <c r="L25" s="360"/>
      <c r="M25" s="361"/>
      <c r="N25" s="126"/>
      <c r="O25" s="126"/>
      <c r="P25" s="126"/>
      <c r="Q25" s="126"/>
      <c r="R25" s="126"/>
      <c r="S25" s="126"/>
      <c r="T25" s="126"/>
      <c r="U25" s="126"/>
      <c r="V25" s="126"/>
      <c r="W25" s="126"/>
      <c r="X25" s="126"/>
      <c r="Y25" s="126"/>
      <c r="Z25" s="126"/>
    </row>
    <row r="26" spans="1:256" x14ac:dyDescent="0.2">
      <c r="A26" s="218"/>
      <c r="B26" s="219"/>
      <c r="C26" s="360"/>
      <c r="D26" s="360"/>
      <c r="E26" s="360"/>
      <c r="F26" s="360"/>
      <c r="G26" s="360"/>
      <c r="H26" s="360"/>
      <c r="I26" s="360"/>
      <c r="J26" s="360"/>
      <c r="K26" s="360"/>
      <c r="L26" s="360"/>
      <c r="M26" s="361"/>
      <c r="N26" s="126"/>
      <c r="O26" s="126"/>
      <c r="P26" s="126"/>
      <c r="Q26" s="126"/>
      <c r="R26" s="126"/>
      <c r="S26" s="126"/>
      <c r="T26" s="126"/>
      <c r="U26" s="126"/>
      <c r="V26" s="126"/>
      <c r="W26" s="126"/>
      <c r="X26" s="126"/>
      <c r="Y26" s="126"/>
      <c r="Z26" s="126"/>
    </row>
    <row r="27" spans="1:256" x14ac:dyDescent="0.2">
      <c r="A27" s="218"/>
      <c r="B27" s="219"/>
      <c r="C27" s="360"/>
      <c r="D27" s="360"/>
      <c r="E27" s="360"/>
      <c r="F27" s="360"/>
      <c r="G27" s="360"/>
      <c r="H27" s="360"/>
      <c r="I27" s="360"/>
      <c r="J27" s="360"/>
      <c r="K27" s="360"/>
      <c r="L27" s="360"/>
      <c r="M27" s="361"/>
      <c r="N27" s="126"/>
      <c r="O27" s="126"/>
      <c r="P27" s="126"/>
      <c r="Q27" s="126"/>
      <c r="R27" s="126"/>
      <c r="S27" s="126"/>
      <c r="T27" s="126"/>
      <c r="U27" s="126"/>
      <c r="V27" s="126"/>
      <c r="W27" s="126"/>
      <c r="X27" s="126"/>
      <c r="Y27" s="126"/>
      <c r="Z27" s="126"/>
    </row>
    <row r="28" spans="1:256" x14ac:dyDescent="0.2">
      <c r="A28" s="218"/>
      <c r="B28" s="219"/>
      <c r="C28" s="360"/>
      <c r="D28" s="360"/>
      <c r="E28" s="360"/>
      <c r="F28" s="360"/>
      <c r="G28" s="360"/>
      <c r="H28" s="360"/>
      <c r="I28" s="360"/>
      <c r="J28" s="360"/>
      <c r="K28" s="360"/>
      <c r="L28" s="360"/>
      <c r="M28" s="361"/>
      <c r="N28" s="126"/>
      <c r="O28" s="126"/>
      <c r="P28" s="126"/>
      <c r="Q28" s="126"/>
      <c r="R28" s="126"/>
      <c r="S28" s="126"/>
      <c r="T28" s="126"/>
      <c r="U28" s="126"/>
      <c r="V28" s="126"/>
      <c r="W28" s="126"/>
      <c r="X28" s="126"/>
      <c r="Y28" s="126"/>
      <c r="Z28" s="126"/>
    </row>
    <row r="29" spans="1:256" x14ac:dyDescent="0.2">
      <c r="A29" s="218"/>
      <c r="B29" s="219"/>
      <c r="C29" s="360"/>
      <c r="D29" s="360"/>
      <c r="E29" s="360"/>
      <c r="F29" s="360"/>
      <c r="G29" s="360"/>
      <c r="H29" s="360"/>
      <c r="I29" s="360"/>
      <c r="J29" s="360"/>
      <c r="K29" s="360"/>
      <c r="L29" s="360"/>
      <c r="M29" s="361"/>
      <c r="N29" s="211"/>
      <c r="O29" s="211"/>
      <c r="P29" s="366"/>
      <c r="Q29" s="366"/>
      <c r="R29" s="366"/>
      <c r="S29" s="366"/>
      <c r="T29" s="366"/>
      <c r="U29" s="366"/>
      <c r="V29" s="366"/>
      <c r="W29" s="366"/>
      <c r="X29" s="366"/>
      <c r="Y29" s="366"/>
      <c r="Z29" s="366"/>
      <c r="AA29" s="207"/>
      <c r="AB29" s="207"/>
      <c r="AC29" s="365"/>
      <c r="AD29" s="365"/>
      <c r="AE29" s="365"/>
      <c r="AF29" s="365"/>
      <c r="AG29" s="365"/>
      <c r="AH29" s="365"/>
      <c r="AI29" s="365"/>
      <c r="AJ29" s="365"/>
      <c r="AK29" s="365"/>
      <c r="AL29" s="365"/>
      <c r="AM29" s="365"/>
      <c r="AN29" s="207"/>
      <c r="AO29" s="207"/>
      <c r="AP29" s="365"/>
      <c r="AQ29" s="365"/>
      <c r="AR29" s="365"/>
      <c r="AS29" s="365"/>
      <c r="AT29" s="365"/>
      <c r="AU29" s="365"/>
      <c r="AV29" s="365"/>
      <c r="AW29" s="365"/>
      <c r="AX29" s="365"/>
      <c r="AY29" s="365"/>
      <c r="AZ29" s="365"/>
      <c r="BA29" s="207"/>
      <c r="BB29" s="207"/>
      <c r="BC29" s="365"/>
      <c r="BD29" s="365"/>
      <c r="BE29" s="365"/>
      <c r="BF29" s="365"/>
      <c r="BG29" s="365"/>
      <c r="BH29" s="365"/>
      <c r="BI29" s="365"/>
      <c r="BJ29" s="365"/>
      <c r="BK29" s="365"/>
      <c r="BL29" s="365"/>
      <c r="BM29" s="365"/>
      <c r="BN29" s="207"/>
      <c r="BO29" s="207"/>
      <c r="BP29" s="365"/>
      <c r="BQ29" s="365"/>
      <c r="BR29" s="365"/>
      <c r="BS29" s="365"/>
      <c r="BT29" s="365"/>
      <c r="BU29" s="365"/>
      <c r="BV29" s="365"/>
      <c r="BW29" s="365"/>
      <c r="BX29" s="365"/>
      <c r="BY29" s="365"/>
      <c r="BZ29" s="365"/>
      <c r="CA29" s="207"/>
      <c r="CB29" s="207"/>
      <c r="CC29" s="365"/>
      <c r="CD29" s="365"/>
      <c r="CE29" s="365"/>
      <c r="CF29" s="365"/>
      <c r="CG29" s="365"/>
      <c r="CH29" s="365"/>
      <c r="CI29" s="365"/>
      <c r="CJ29" s="365"/>
      <c r="CK29" s="365"/>
      <c r="CL29" s="365"/>
      <c r="CM29" s="365"/>
      <c r="CN29" s="207"/>
      <c r="CO29" s="207"/>
      <c r="CP29" s="365"/>
      <c r="CQ29" s="365"/>
      <c r="CR29" s="365"/>
      <c r="CS29" s="365"/>
      <c r="CT29" s="365"/>
      <c r="CU29" s="365"/>
      <c r="CV29" s="365"/>
      <c r="CW29" s="365"/>
      <c r="CX29" s="365"/>
      <c r="CY29" s="365"/>
      <c r="CZ29" s="365"/>
      <c r="DA29" s="207"/>
      <c r="DB29" s="207"/>
      <c r="DC29" s="365"/>
      <c r="DD29" s="365"/>
      <c r="DE29" s="365"/>
      <c r="DF29" s="365"/>
      <c r="DG29" s="365"/>
      <c r="DH29" s="365"/>
      <c r="DI29" s="365"/>
      <c r="DJ29" s="365"/>
      <c r="DK29" s="365"/>
      <c r="DL29" s="365"/>
      <c r="DM29" s="365"/>
      <c r="DN29" s="207"/>
      <c r="DO29" s="207"/>
      <c r="DP29" s="365"/>
      <c r="DQ29" s="365"/>
      <c r="DR29" s="365"/>
      <c r="DS29" s="365"/>
      <c r="DT29" s="365"/>
      <c r="DU29" s="365"/>
      <c r="DV29" s="365"/>
      <c r="DW29" s="365"/>
      <c r="DX29" s="365"/>
      <c r="DY29" s="365"/>
      <c r="DZ29" s="365"/>
      <c r="EA29" s="207"/>
      <c r="EB29" s="207"/>
      <c r="EC29" s="365"/>
      <c r="ED29" s="365"/>
      <c r="EE29" s="365"/>
      <c r="EF29" s="365"/>
      <c r="EG29" s="365"/>
      <c r="EH29" s="365"/>
      <c r="EI29" s="365"/>
      <c r="EJ29" s="365"/>
      <c r="EK29" s="365"/>
      <c r="EL29" s="365"/>
      <c r="EM29" s="365"/>
      <c r="EN29" s="207"/>
      <c r="EO29" s="207"/>
      <c r="EP29" s="365"/>
      <c r="EQ29" s="365"/>
      <c r="ER29" s="365"/>
      <c r="ES29" s="365"/>
      <c r="ET29" s="365"/>
      <c r="EU29" s="365"/>
      <c r="EV29" s="365"/>
      <c r="EW29" s="365"/>
      <c r="EX29" s="365"/>
      <c r="EY29" s="365"/>
      <c r="EZ29" s="365"/>
      <c r="FA29" s="207"/>
      <c r="FB29" s="207"/>
      <c r="FC29" s="365"/>
      <c r="FD29" s="365"/>
      <c r="FE29" s="365"/>
      <c r="FF29" s="365"/>
      <c r="FG29" s="365"/>
      <c r="FH29" s="365"/>
      <c r="FI29" s="365"/>
      <c r="FJ29" s="365"/>
      <c r="FK29" s="365"/>
      <c r="FL29" s="365"/>
      <c r="FM29" s="365"/>
      <c r="FN29" s="207"/>
      <c r="FO29" s="207"/>
      <c r="FP29" s="365"/>
      <c r="FQ29" s="365"/>
      <c r="FR29" s="365"/>
      <c r="FS29" s="365"/>
      <c r="FT29" s="365"/>
      <c r="FU29" s="365"/>
      <c r="FV29" s="365"/>
      <c r="FW29" s="365"/>
      <c r="FX29" s="365"/>
      <c r="FY29" s="365"/>
      <c r="FZ29" s="365"/>
      <c r="GA29" s="207"/>
      <c r="GB29" s="207"/>
      <c r="GC29" s="365"/>
      <c r="GD29" s="365"/>
      <c r="GE29" s="365"/>
      <c r="GF29" s="365"/>
      <c r="GG29" s="365"/>
      <c r="GH29" s="365"/>
      <c r="GI29" s="365"/>
      <c r="GJ29" s="365"/>
      <c r="GK29" s="365"/>
      <c r="GL29" s="365"/>
      <c r="GM29" s="365"/>
      <c r="GN29" s="207"/>
      <c r="GO29" s="207"/>
      <c r="GP29" s="365"/>
      <c r="GQ29" s="365"/>
      <c r="GR29" s="365"/>
      <c r="GS29" s="365"/>
      <c r="GT29" s="365"/>
      <c r="GU29" s="365"/>
      <c r="GV29" s="365"/>
      <c r="GW29" s="365"/>
      <c r="GX29" s="365"/>
      <c r="GY29" s="365"/>
      <c r="GZ29" s="365"/>
      <c r="HA29" s="207"/>
      <c r="HB29" s="207"/>
      <c r="HC29" s="365"/>
      <c r="HD29" s="365"/>
      <c r="HE29" s="365"/>
      <c r="HF29" s="365"/>
      <c r="HG29" s="365"/>
      <c r="HH29" s="365"/>
      <c r="HI29" s="365"/>
      <c r="HJ29" s="365"/>
      <c r="HK29" s="365"/>
      <c r="HL29" s="365"/>
      <c r="HM29" s="365"/>
      <c r="HN29" s="207"/>
      <c r="HO29" s="207"/>
      <c r="HP29" s="365"/>
      <c r="HQ29" s="365"/>
      <c r="HR29" s="365"/>
      <c r="HS29" s="365"/>
      <c r="HT29" s="365"/>
      <c r="HU29" s="365"/>
      <c r="HV29" s="365"/>
      <c r="HW29" s="365"/>
      <c r="HX29" s="365"/>
      <c r="HY29" s="365"/>
      <c r="HZ29" s="365"/>
      <c r="IA29" s="207"/>
      <c r="IB29" s="207"/>
      <c r="IC29" s="365"/>
      <c r="ID29" s="365"/>
      <c r="IE29" s="365"/>
      <c r="IF29" s="365"/>
      <c r="IG29" s="365"/>
      <c r="IH29" s="365"/>
      <c r="II29" s="365"/>
      <c r="IJ29" s="365"/>
      <c r="IK29" s="365"/>
      <c r="IL29" s="365"/>
      <c r="IM29" s="365"/>
      <c r="IN29" s="207"/>
      <c r="IO29" s="207"/>
      <c r="IP29" s="365"/>
      <c r="IQ29" s="365"/>
      <c r="IR29" s="365"/>
      <c r="IS29" s="365"/>
      <c r="IT29" s="365"/>
      <c r="IU29" s="365"/>
      <c r="IV29" s="365"/>
    </row>
    <row r="30" spans="1:256" x14ac:dyDescent="0.2">
      <c r="A30" s="218"/>
      <c r="B30" s="219"/>
      <c r="C30" s="360"/>
      <c r="D30" s="360"/>
      <c r="E30" s="360"/>
      <c r="F30" s="360"/>
      <c r="G30" s="360"/>
      <c r="H30" s="360"/>
      <c r="I30" s="360"/>
      <c r="J30" s="360"/>
      <c r="K30" s="360"/>
      <c r="L30" s="360"/>
      <c r="M30" s="361"/>
      <c r="N30" s="211"/>
      <c r="O30" s="211"/>
      <c r="P30" s="366"/>
      <c r="Q30" s="366"/>
      <c r="R30" s="366"/>
      <c r="S30" s="366"/>
      <c r="T30" s="366"/>
      <c r="U30" s="366"/>
      <c r="V30" s="366"/>
      <c r="W30" s="366"/>
      <c r="X30" s="366"/>
      <c r="Y30" s="366"/>
      <c r="Z30" s="366"/>
      <c r="AA30" s="207"/>
      <c r="AB30" s="207"/>
      <c r="AC30" s="365"/>
      <c r="AD30" s="365"/>
      <c r="AE30" s="365"/>
      <c r="AF30" s="365"/>
      <c r="AG30" s="365"/>
      <c r="AH30" s="365"/>
      <c r="AI30" s="365"/>
      <c r="AJ30" s="365"/>
      <c r="AK30" s="365"/>
      <c r="AL30" s="365"/>
      <c r="AM30" s="365"/>
      <c r="AN30" s="207"/>
      <c r="AO30" s="207"/>
      <c r="AP30" s="365"/>
      <c r="AQ30" s="365"/>
      <c r="AR30" s="365"/>
      <c r="AS30" s="365"/>
      <c r="AT30" s="365"/>
      <c r="AU30" s="365"/>
      <c r="AV30" s="365"/>
      <c r="AW30" s="365"/>
      <c r="AX30" s="365"/>
      <c r="AY30" s="365"/>
      <c r="AZ30" s="365"/>
      <c r="BA30" s="207"/>
      <c r="BB30" s="207"/>
      <c r="BC30" s="365"/>
      <c r="BD30" s="365"/>
      <c r="BE30" s="365"/>
      <c r="BF30" s="365"/>
      <c r="BG30" s="365"/>
      <c r="BH30" s="365"/>
      <c r="BI30" s="365"/>
      <c r="BJ30" s="365"/>
      <c r="BK30" s="365"/>
      <c r="BL30" s="365"/>
      <c r="BM30" s="365"/>
      <c r="BN30" s="207"/>
      <c r="BO30" s="207"/>
      <c r="BP30" s="365"/>
      <c r="BQ30" s="365"/>
      <c r="BR30" s="365"/>
      <c r="BS30" s="365"/>
      <c r="BT30" s="365"/>
      <c r="BU30" s="365"/>
      <c r="BV30" s="365"/>
      <c r="BW30" s="365"/>
      <c r="BX30" s="365"/>
      <c r="BY30" s="365"/>
      <c r="BZ30" s="365"/>
      <c r="CA30" s="207"/>
      <c r="CB30" s="207"/>
      <c r="CC30" s="365"/>
      <c r="CD30" s="365"/>
      <c r="CE30" s="365"/>
      <c r="CF30" s="365"/>
      <c r="CG30" s="365"/>
      <c r="CH30" s="365"/>
      <c r="CI30" s="365"/>
      <c r="CJ30" s="365"/>
      <c r="CK30" s="365"/>
      <c r="CL30" s="365"/>
      <c r="CM30" s="365"/>
      <c r="CN30" s="207"/>
      <c r="CO30" s="207"/>
      <c r="CP30" s="365"/>
      <c r="CQ30" s="365"/>
      <c r="CR30" s="365"/>
      <c r="CS30" s="365"/>
      <c r="CT30" s="365"/>
      <c r="CU30" s="365"/>
      <c r="CV30" s="365"/>
      <c r="CW30" s="365"/>
      <c r="CX30" s="365"/>
      <c r="CY30" s="365"/>
      <c r="CZ30" s="365"/>
      <c r="DA30" s="207"/>
      <c r="DB30" s="207"/>
      <c r="DC30" s="365"/>
      <c r="DD30" s="365"/>
      <c r="DE30" s="365"/>
      <c r="DF30" s="365"/>
      <c r="DG30" s="365"/>
      <c r="DH30" s="365"/>
      <c r="DI30" s="365"/>
      <c r="DJ30" s="365"/>
      <c r="DK30" s="365"/>
      <c r="DL30" s="365"/>
      <c r="DM30" s="365"/>
      <c r="DN30" s="207"/>
      <c r="DO30" s="207"/>
      <c r="DP30" s="365"/>
      <c r="DQ30" s="365"/>
      <c r="DR30" s="365"/>
      <c r="DS30" s="365"/>
      <c r="DT30" s="365"/>
      <c r="DU30" s="365"/>
      <c r="DV30" s="365"/>
      <c r="DW30" s="365"/>
      <c r="DX30" s="365"/>
      <c r="DY30" s="365"/>
      <c r="DZ30" s="365"/>
      <c r="EA30" s="207"/>
      <c r="EB30" s="207"/>
      <c r="EC30" s="365"/>
      <c r="ED30" s="365"/>
      <c r="EE30" s="365"/>
      <c r="EF30" s="365"/>
      <c r="EG30" s="365"/>
      <c r="EH30" s="365"/>
      <c r="EI30" s="365"/>
      <c r="EJ30" s="365"/>
      <c r="EK30" s="365"/>
      <c r="EL30" s="365"/>
      <c r="EM30" s="365"/>
      <c r="EN30" s="207"/>
      <c r="EO30" s="207"/>
      <c r="EP30" s="365"/>
      <c r="EQ30" s="365"/>
      <c r="ER30" s="365"/>
      <c r="ES30" s="365"/>
      <c r="ET30" s="365"/>
      <c r="EU30" s="365"/>
      <c r="EV30" s="365"/>
      <c r="EW30" s="365"/>
      <c r="EX30" s="365"/>
      <c r="EY30" s="365"/>
      <c r="EZ30" s="365"/>
      <c r="FA30" s="207"/>
      <c r="FB30" s="207"/>
      <c r="FC30" s="365"/>
      <c r="FD30" s="365"/>
      <c r="FE30" s="365"/>
      <c r="FF30" s="365"/>
      <c r="FG30" s="365"/>
      <c r="FH30" s="365"/>
      <c r="FI30" s="365"/>
      <c r="FJ30" s="365"/>
      <c r="FK30" s="365"/>
      <c r="FL30" s="365"/>
      <c r="FM30" s="365"/>
      <c r="FN30" s="207"/>
      <c r="FO30" s="207"/>
      <c r="FP30" s="365"/>
      <c r="FQ30" s="365"/>
      <c r="FR30" s="365"/>
      <c r="FS30" s="365"/>
      <c r="FT30" s="365"/>
      <c r="FU30" s="365"/>
      <c r="FV30" s="365"/>
      <c r="FW30" s="365"/>
      <c r="FX30" s="365"/>
      <c r="FY30" s="365"/>
      <c r="FZ30" s="365"/>
      <c r="GA30" s="207"/>
      <c r="GB30" s="207"/>
      <c r="GC30" s="365"/>
      <c r="GD30" s="365"/>
      <c r="GE30" s="365"/>
      <c r="GF30" s="365"/>
      <c r="GG30" s="365"/>
      <c r="GH30" s="365"/>
      <c r="GI30" s="365"/>
      <c r="GJ30" s="365"/>
      <c r="GK30" s="365"/>
      <c r="GL30" s="365"/>
      <c r="GM30" s="365"/>
      <c r="GN30" s="207"/>
      <c r="GO30" s="207"/>
      <c r="GP30" s="365"/>
      <c r="GQ30" s="365"/>
      <c r="GR30" s="365"/>
      <c r="GS30" s="365"/>
      <c r="GT30" s="365"/>
      <c r="GU30" s="365"/>
      <c r="GV30" s="365"/>
      <c r="GW30" s="365"/>
      <c r="GX30" s="365"/>
      <c r="GY30" s="365"/>
      <c r="GZ30" s="365"/>
      <c r="HA30" s="207"/>
      <c r="HB30" s="207"/>
      <c r="HC30" s="365"/>
      <c r="HD30" s="365"/>
      <c r="HE30" s="365"/>
      <c r="HF30" s="365"/>
      <c r="HG30" s="365"/>
      <c r="HH30" s="365"/>
      <c r="HI30" s="365"/>
      <c r="HJ30" s="365"/>
      <c r="HK30" s="365"/>
      <c r="HL30" s="365"/>
      <c r="HM30" s="365"/>
      <c r="HN30" s="207"/>
      <c r="HO30" s="207"/>
      <c r="HP30" s="365"/>
      <c r="HQ30" s="365"/>
      <c r="HR30" s="365"/>
      <c r="HS30" s="365"/>
      <c r="HT30" s="365"/>
      <c r="HU30" s="365"/>
      <c r="HV30" s="365"/>
      <c r="HW30" s="365"/>
      <c r="HX30" s="365"/>
      <c r="HY30" s="365"/>
      <c r="HZ30" s="365"/>
      <c r="IA30" s="207"/>
      <c r="IB30" s="207"/>
      <c r="IC30" s="365"/>
      <c r="ID30" s="365"/>
      <c r="IE30" s="365"/>
      <c r="IF30" s="365"/>
      <c r="IG30" s="365"/>
      <c r="IH30" s="365"/>
      <c r="II30" s="365"/>
      <c r="IJ30" s="365"/>
      <c r="IK30" s="365"/>
      <c r="IL30" s="365"/>
      <c r="IM30" s="365"/>
      <c r="IN30" s="207"/>
      <c r="IO30" s="207"/>
      <c r="IP30" s="365"/>
      <c r="IQ30" s="365"/>
      <c r="IR30" s="365"/>
      <c r="IS30" s="365"/>
      <c r="IT30" s="365"/>
      <c r="IU30" s="365"/>
      <c r="IV30" s="365"/>
    </row>
    <row r="31" spans="1:256" x14ac:dyDescent="0.2">
      <c r="A31" s="218"/>
      <c r="B31" s="219"/>
      <c r="C31" s="360"/>
      <c r="D31" s="360"/>
      <c r="E31" s="360"/>
      <c r="F31" s="360"/>
      <c r="G31" s="360"/>
      <c r="H31" s="360"/>
      <c r="I31" s="360"/>
      <c r="J31" s="360"/>
      <c r="K31" s="360"/>
      <c r="L31" s="360"/>
      <c r="M31" s="361"/>
      <c r="N31" s="211"/>
      <c r="O31" s="211"/>
      <c r="P31" s="366"/>
      <c r="Q31" s="366"/>
      <c r="R31" s="366"/>
      <c r="S31" s="366"/>
      <c r="T31" s="366"/>
      <c r="U31" s="366"/>
      <c r="V31" s="366"/>
      <c r="W31" s="366"/>
      <c r="X31" s="366"/>
      <c r="Y31" s="366"/>
      <c r="Z31" s="366"/>
      <c r="AA31" s="207"/>
      <c r="AB31" s="207"/>
      <c r="AC31" s="365"/>
      <c r="AD31" s="365"/>
      <c r="AE31" s="365"/>
      <c r="AF31" s="365"/>
      <c r="AG31" s="365"/>
      <c r="AH31" s="365"/>
      <c r="AI31" s="365"/>
      <c r="AJ31" s="365"/>
      <c r="AK31" s="365"/>
      <c r="AL31" s="365"/>
      <c r="AM31" s="365"/>
      <c r="AN31" s="207"/>
      <c r="AO31" s="207"/>
      <c r="AP31" s="365"/>
      <c r="AQ31" s="365"/>
      <c r="AR31" s="365"/>
      <c r="AS31" s="365"/>
      <c r="AT31" s="365"/>
      <c r="AU31" s="365"/>
      <c r="AV31" s="365"/>
      <c r="AW31" s="365"/>
      <c r="AX31" s="365"/>
      <c r="AY31" s="365"/>
      <c r="AZ31" s="365"/>
      <c r="BA31" s="207"/>
      <c r="BB31" s="207"/>
      <c r="BC31" s="365"/>
      <c r="BD31" s="365"/>
      <c r="BE31" s="365"/>
      <c r="BF31" s="365"/>
      <c r="BG31" s="365"/>
      <c r="BH31" s="365"/>
      <c r="BI31" s="365"/>
      <c r="BJ31" s="365"/>
      <c r="BK31" s="365"/>
      <c r="BL31" s="365"/>
      <c r="BM31" s="365"/>
      <c r="BN31" s="207"/>
      <c r="BO31" s="207"/>
      <c r="BP31" s="365"/>
      <c r="BQ31" s="365"/>
      <c r="BR31" s="365"/>
      <c r="BS31" s="365"/>
      <c r="BT31" s="365"/>
      <c r="BU31" s="365"/>
      <c r="BV31" s="365"/>
      <c r="BW31" s="365"/>
      <c r="BX31" s="365"/>
      <c r="BY31" s="365"/>
      <c r="BZ31" s="365"/>
      <c r="CA31" s="207"/>
      <c r="CB31" s="207"/>
      <c r="CC31" s="365"/>
      <c r="CD31" s="365"/>
      <c r="CE31" s="365"/>
      <c r="CF31" s="365"/>
      <c r="CG31" s="365"/>
      <c r="CH31" s="365"/>
      <c r="CI31" s="365"/>
      <c r="CJ31" s="365"/>
      <c r="CK31" s="365"/>
      <c r="CL31" s="365"/>
      <c r="CM31" s="365"/>
      <c r="CN31" s="207"/>
      <c r="CO31" s="207"/>
      <c r="CP31" s="365"/>
      <c r="CQ31" s="365"/>
      <c r="CR31" s="365"/>
      <c r="CS31" s="365"/>
      <c r="CT31" s="365"/>
      <c r="CU31" s="365"/>
      <c r="CV31" s="365"/>
      <c r="CW31" s="365"/>
      <c r="CX31" s="365"/>
      <c r="CY31" s="365"/>
      <c r="CZ31" s="365"/>
      <c r="DA31" s="207"/>
      <c r="DB31" s="207"/>
      <c r="DC31" s="365"/>
      <c r="DD31" s="365"/>
      <c r="DE31" s="365"/>
      <c r="DF31" s="365"/>
      <c r="DG31" s="365"/>
      <c r="DH31" s="365"/>
      <c r="DI31" s="365"/>
      <c r="DJ31" s="365"/>
      <c r="DK31" s="365"/>
      <c r="DL31" s="365"/>
      <c r="DM31" s="365"/>
      <c r="DN31" s="207"/>
      <c r="DO31" s="207"/>
      <c r="DP31" s="365"/>
      <c r="DQ31" s="365"/>
      <c r="DR31" s="365"/>
      <c r="DS31" s="365"/>
      <c r="DT31" s="365"/>
      <c r="DU31" s="365"/>
      <c r="DV31" s="365"/>
      <c r="DW31" s="365"/>
      <c r="DX31" s="365"/>
      <c r="DY31" s="365"/>
      <c r="DZ31" s="365"/>
      <c r="EA31" s="207"/>
      <c r="EB31" s="207"/>
      <c r="EC31" s="365"/>
      <c r="ED31" s="365"/>
      <c r="EE31" s="365"/>
      <c r="EF31" s="365"/>
      <c r="EG31" s="365"/>
      <c r="EH31" s="365"/>
      <c r="EI31" s="365"/>
      <c r="EJ31" s="365"/>
      <c r="EK31" s="365"/>
      <c r="EL31" s="365"/>
      <c r="EM31" s="365"/>
      <c r="EN31" s="207"/>
      <c r="EO31" s="207"/>
      <c r="EP31" s="365"/>
      <c r="EQ31" s="365"/>
      <c r="ER31" s="365"/>
      <c r="ES31" s="365"/>
      <c r="ET31" s="365"/>
      <c r="EU31" s="365"/>
      <c r="EV31" s="365"/>
      <c r="EW31" s="365"/>
      <c r="EX31" s="365"/>
      <c r="EY31" s="365"/>
      <c r="EZ31" s="365"/>
      <c r="FA31" s="207"/>
      <c r="FB31" s="207"/>
      <c r="FC31" s="365"/>
      <c r="FD31" s="365"/>
      <c r="FE31" s="365"/>
      <c r="FF31" s="365"/>
      <c r="FG31" s="365"/>
      <c r="FH31" s="365"/>
      <c r="FI31" s="365"/>
      <c r="FJ31" s="365"/>
      <c r="FK31" s="365"/>
      <c r="FL31" s="365"/>
      <c r="FM31" s="365"/>
      <c r="FN31" s="207"/>
      <c r="FO31" s="207"/>
      <c r="FP31" s="365"/>
      <c r="FQ31" s="365"/>
      <c r="FR31" s="365"/>
      <c r="FS31" s="365"/>
      <c r="FT31" s="365"/>
      <c r="FU31" s="365"/>
      <c r="FV31" s="365"/>
      <c r="FW31" s="365"/>
      <c r="FX31" s="365"/>
      <c r="FY31" s="365"/>
      <c r="FZ31" s="365"/>
      <c r="GA31" s="207"/>
      <c r="GB31" s="207"/>
      <c r="GC31" s="365"/>
      <c r="GD31" s="365"/>
      <c r="GE31" s="365"/>
      <c r="GF31" s="365"/>
      <c r="GG31" s="365"/>
      <c r="GH31" s="365"/>
      <c r="GI31" s="365"/>
      <c r="GJ31" s="365"/>
      <c r="GK31" s="365"/>
      <c r="GL31" s="365"/>
      <c r="GM31" s="365"/>
      <c r="GN31" s="207"/>
      <c r="GO31" s="207"/>
      <c r="GP31" s="365"/>
      <c r="GQ31" s="365"/>
      <c r="GR31" s="365"/>
      <c r="GS31" s="365"/>
      <c r="GT31" s="365"/>
      <c r="GU31" s="365"/>
      <c r="GV31" s="365"/>
      <c r="GW31" s="365"/>
      <c r="GX31" s="365"/>
      <c r="GY31" s="365"/>
      <c r="GZ31" s="365"/>
      <c r="HA31" s="207"/>
      <c r="HB31" s="207"/>
      <c r="HC31" s="365"/>
      <c r="HD31" s="365"/>
      <c r="HE31" s="365"/>
      <c r="HF31" s="365"/>
      <c r="HG31" s="365"/>
      <c r="HH31" s="365"/>
      <c r="HI31" s="365"/>
      <c r="HJ31" s="365"/>
      <c r="HK31" s="365"/>
      <c r="HL31" s="365"/>
      <c r="HM31" s="365"/>
      <c r="HN31" s="207"/>
      <c r="HO31" s="207"/>
      <c r="HP31" s="365"/>
      <c r="HQ31" s="365"/>
      <c r="HR31" s="365"/>
      <c r="HS31" s="365"/>
      <c r="HT31" s="365"/>
      <c r="HU31" s="365"/>
      <c r="HV31" s="365"/>
      <c r="HW31" s="365"/>
      <c r="HX31" s="365"/>
      <c r="HY31" s="365"/>
      <c r="HZ31" s="365"/>
      <c r="IA31" s="207"/>
      <c r="IB31" s="207"/>
      <c r="IC31" s="365"/>
      <c r="ID31" s="365"/>
      <c r="IE31" s="365"/>
      <c r="IF31" s="365"/>
      <c r="IG31" s="365"/>
      <c r="IH31" s="365"/>
      <c r="II31" s="365"/>
      <c r="IJ31" s="365"/>
      <c r="IK31" s="365"/>
      <c r="IL31" s="365"/>
      <c r="IM31" s="365"/>
      <c r="IN31" s="207"/>
      <c r="IO31" s="207"/>
      <c r="IP31" s="365"/>
      <c r="IQ31" s="365"/>
      <c r="IR31" s="365"/>
      <c r="IS31" s="365"/>
      <c r="IT31" s="365"/>
      <c r="IU31" s="365"/>
      <c r="IV31" s="365"/>
    </row>
    <row r="32" spans="1:256" x14ac:dyDescent="0.2">
      <c r="A32" s="218"/>
      <c r="B32" s="219"/>
      <c r="C32" s="360"/>
      <c r="D32" s="360"/>
      <c r="E32" s="360"/>
      <c r="F32" s="360"/>
      <c r="G32" s="360"/>
      <c r="H32" s="360"/>
      <c r="I32" s="360"/>
      <c r="J32" s="360"/>
      <c r="K32" s="360"/>
      <c r="L32" s="360"/>
      <c r="M32" s="361"/>
      <c r="N32" s="223"/>
      <c r="O32" s="223"/>
      <c r="P32" s="367"/>
      <c r="Q32" s="367"/>
      <c r="R32" s="367"/>
      <c r="S32" s="367"/>
      <c r="T32" s="367"/>
      <c r="U32" s="367"/>
      <c r="V32" s="367"/>
      <c r="W32" s="367"/>
      <c r="X32" s="367"/>
      <c r="Y32" s="367"/>
      <c r="Z32" s="368"/>
      <c r="AA32" s="218"/>
      <c r="AB32" s="219"/>
      <c r="AC32" s="360"/>
      <c r="AD32" s="360"/>
      <c r="AE32" s="360"/>
      <c r="AF32" s="360"/>
      <c r="AG32" s="360"/>
      <c r="AH32" s="360"/>
      <c r="AI32" s="360"/>
      <c r="AJ32" s="360"/>
      <c r="AK32" s="360"/>
      <c r="AL32" s="360"/>
      <c r="AM32" s="361"/>
      <c r="AN32" s="218"/>
      <c r="AO32" s="219"/>
      <c r="AP32" s="360"/>
      <c r="AQ32" s="360"/>
      <c r="AR32" s="360"/>
      <c r="AS32" s="360"/>
      <c r="AT32" s="360"/>
      <c r="AU32" s="360"/>
      <c r="AV32" s="360"/>
      <c r="AW32" s="360"/>
      <c r="AX32" s="360"/>
      <c r="AY32" s="360"/>
      <c r="AZ32" s="361"/>
      <c r="BA32" s="218"/>
      <c r="BB32" s="219"/>
      <c r="BC32" s="360"/>
      <c r="BD32" s="360"/>
      <c r="BE32" s="360"/>
      <c r="BF32" s="360"/>
      <c r="BG32" s="360"/>
      <c r="BH32" s="360"/>
      <c r="BI32" s="360"/>
      <c r="BJ32" s="360"/>
      <c r="BK32" s="360"/>
      <c r="BL32" s="360"/>
      <c r="BM32" s="361"/>
      <c r="BN32" s="218"/>
      <c r="BO32" s="219"/>
      <c r="BP32" s="360"/>
      <c r="BQ32" s="360"/>
      <c r="BR32" s="360"/>
      <c r="BS32" s="360"/>
      <c r="BT32" s="360"/>
      <c r="BU32" s="360"/>
      <c r="BV32" s="360"/>
      <c r="BW32" s="360"/>
      <c r="BX32" s="360"/>
      <c r="BY32" s="360"/>
      <c r="BZ32" s="361"/>
      <c r="CA32" s="218"/>
      <c r="CB32" s="219"/>
      <c r="CC32" s="360"/>
      <c r="CD32" s="360"/>
      <c r="CE32" s="360"/>
      <c r="CF32" s="360"/>
      <c r="CG32" s="360"/>
      <c r="CH32" s="360"/>
      <c r="CI32" s="360"/>
      <c r="CJ32" s="360"/>
      <c r="CK32" s="360"/>
      <c r="CL32" s="360"/>
      <c r="CM32" s="361"/>
      <c r="CN32" s="218"/>
      <c r="CO32" s="219"/>
      <c r="CP32" s="360"/>
      <c r="CQ32" s="360"/>
      <c r="CR32" s="360"/>
      <c r="CS32" s="360"/>
      <c r="CT32" s="360"/>
      <c r="CU32" s="360"/>
      <c r="CV32" s="360"/>
      <c r="CW32" s="360"/>
      <c r="CX32" s="360"/>
      <c r="CY32" s="360"/>
      <c r="CZ32" s="361"/>
      <c r="DA32" s="218"/>
      <c r="DB32" s="219"/>
      <c r="DC32" s="360"/>
      <c r="DD32" s="360"/>
      <c r="DE32" s="360"/>
      <c r="DF32" s="360"/>
      <c r="DG32" s="360"/>
      <c r="DH32" s="360"/>
      <c r="DI32" s="360"/>
      <c r="DJ32" s="360"/>
      <c r="DK32" s="360"/>
      <c r="DL32" s="360"/>
      <c r="DM32" s="361"/>
      <c r="DN32" s="218"/>
      <c r="DO32" s="219"/>
      <c r="DP32" s="360"/>
      <c r="DQ32" s="360"/>
      <c r="DR32" s="360"/>
      <c r="DS32" s="360"/>
      <c r="DT32" s="360"/>
      <c r="DU32" s="360"/>
      <c r="DV32" s="360"/>
      <c r="DW32" s="360"/>
      <c r="DX32" s="360"/>
      <c r="DY32" s="360"/>
      <c r="DZ32" s="361"/>
      <c r="EA32" s="218"/>
      <c r="EB32" s="219"/>
      <c r="EC32" s="360"/>
      <c r="ED32" s="360"/>
      <c r="EE32" s="360"/>
      <c r="EF32" s="360"/>
      <c r="EG32" s="360"/>
      <c r="EH32" s="360"/>
      <c r="EI32" s="360"/>
      <c r="EJ32" s="360"/>
      <c r="EK32" s="360"/>
      <c r="EL32" s="360"/>
      <c r="EM32" s="361"/>
      <c r="EN32" s="218"/>
      <c r="EO32" s="219"/>
      <c r="EP32" s="360"/>
      <c r="EQ32" s="360"/>
      <c r="ER32" s="360"/>
      <c r="ES32" s="360"/>
      <c r="ET32" s="360"/>
      <c r="EU32" s="360"/>
      <c r="EV32" s="360"/>
      <c r="EW32" s="360"/>
      <c r="EX32" s="360"/>
      <c r="EY32" s="360"/>
      <c r="EZ32" s="361"/>
      <c r="FA32" s="218"/>
      <c r="FB32" s="219"/>
      <c r="FC32" s="360"/>
      <c r="FD32" s="360"/>
      <c r="FE32" s="360"/>
      <c r="FF32" s="360"/>
      <c r="FG32" s="360"/>
      <c r="FH32" s="360"/>
      <c r="FI32" s="360"/>
      <c r="FJ32" s="360"/>
      <c r="FK32" s="360"/>
      <c r="FL32" s="360"/>
      <c r="FM32" s="361"/>
      <c r="FN32" s="218"/>
      <c r="FO32" s="219"/>
      <c r="FP32" s="360"/>
      <c r="FQ32" s="360"/>
      <c r="FR32" s="360"/>
      <c r="FS32" s="360"/>
      <c r="FT32" s="360"/>
      <c r="FU32" s="360"/>
      <c r="FV32" s="360"/>
      <c r="FW32" s="360"/>
      <c r="FX32" s="360"/>
      <c r="FY32" s="360"/>
      <c r="FZ32" s="361"/>
      <c r="GA32" s="218"/>
      <c r="GB32" s="219"/>
      <c r="GC32" s="360"/>
      <c r="GD32" s="360"/>
      <c r="GE32" s="360"/>
      <c r="GF32" s="360"/>
      <c r="GG32" s="360"/>
      <c r="GH32" s="360"/>
      <c r="GI32" s="360"/>
      <c r="GJ32" s="360"/>
      <c r="GK32" s="360"/>
      <c r="GL32" s="360"/>
      <c r="GM32" s="361"/>
      <c r="GN32" s="218"/>
      <c r="GO32" s="219"/>
      <c r="GP32" s="360"/>
      <c r="GQ32" s="360"/>
      <c r="GR32" s="360"/>
      <c r="GS32" s="360"/>
      <c r="GT32" s="360"/>
      <c r="GU32" s="360"/>
      <c r="GV32" s="360"/>
      <c r="GW32" s="360"/>
      <c r="GX32" s="360"/>
      <c r="GY32" s="360"/>
      <c r="GZ32" s="361"/>
      <c r="HA32" s="218"/>
      <c r="HB32" s="219"/>
      <c r="HC32" s="360"/>
      <c r="HD32" s="360"/>
      <c r="HE32" s="360"/>
      <c r="HF32" s="360"/>
      <c r="HG32" s="360"/>
      <c r="HH32" s="360"/>
      <c r="HI32" s="360"/>
      <c r="HJ32" s="360"/>
      <c r="HK32" s="360"/>
      <c r="HL32" s="360"/>
      <c r="HM32" s="361"/>
      <c r="HN32" s="218"/>
      <c r="HO32" s="219"/>
      <c r="HP32" s="360"/>
      <c r="HQ32" s="360"/>
      <c r="HR32" s="360"/>
      <c r="HS32" s="360"/>
      <c r="HT32" s="360"/>
      <c r="HU32" s="360"/>
      <c r="HV32" s="360"/>
      <c r="HW32" s="360"/>
      <c r="HX32" s="360"/>
      <c r="HY32" s="360"/>
      <c r="HZ32" s="361"/>
      <c r="IA32" s="218"/>
      <c r="IB32" s="219"/>
      <c r="IC32" s="360"/>
      <c r="ID32" s="360"/>
      <c r="IE32" s="360"/>
      <c r="IF32" s="360"/>
      <c r="IG32" s="360"/>
      <c r="IH32" s="360"/>
      <c r="II32" s="360"/>
      <c r="IJ32" s="360"/>
      <c r="IK32" s="360"/>
      <c r="IL32" s="360"/>
      <c r="IM32" s="361"/>
      <c r="IN32" s="218"/>
      <c r="IO32" s="219"/>
      <c r="IP32" s="360"/>
      <c r="IQ32" s="360"/>
      <c r="IR32" s="360"/>
      <c r="IS32" s="360"/>
      <c r="IT32" s="360"/>
      <c r="IU32" s="360"/>
      <c r="IV32" s="360"/>
    </row>
    <row r="33" spans="1:256" x14ac:dyDescent="0.2">
      <c r="A33" s="218"/>
      <c r="B33" s="219"/>
      <c r="C33" s="360"/>
      <c r="D33" s="360"/>
      <c r="E33" s="360"/>
      <c r="F33" s="360"/>
      <c r="G33" s="360"/>
      <c r="H33" s="360"/>
      <c r="I33" s="360"/>
      <c r="J33" s="360"/>
      <c r="K33" s="360"/>
      <c r="L33" s="360"/>
      <c r="M33" s="361"/>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60"/>
      <c r="D34" s="360"/>
      <c r="E34" s="360"/>
      <c r="F34" s="360"/>
      <c r="G34" s="360"/>
      <c r="H34" s="360"/>
      <c r="I34" s="360"/>
      <c r="J34" s="360"/>
      <c r="K34" s="360"/>
      <c r="L34" s="360"/>
      <c r="M34" s="361"/>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60"/>
      <c r="D35" s="360"/>
      <c r="E35" s="360"/>
      <c r="F35" s="360"/>
      <c r="G35" s="360"/>
      <c r="H35" s="360"/>
      <c r="I35" s="360"/>
      <c r="J35" s="360"/>
      <c r="K35" s="360"/>
      <c r="L35" s="360"/>
      <c r="M35" s="361"/>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60"/>
      <c r="D36" s="360"/>
      <c r="E36" s="360"/>
      <c r="F36" s="360"/>
      <c r="G36" s="360"/>
      <c r="H36" s="360"/>
      <c r="I36" s="360"/>
      <c r="J36" s="360"/>
      <c r="K36" s="360"/>
      <c r="L36" s="360"/>
      <c r="M36" s="361"/>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60"/>
      <c r="D37" s="360"/>
      <c r="E37" s="360"/>
      <c r="F37" s="360"/>
      <c r="G37" s="360"/>
      <c r="H37" s="360"/>
      <c r="I37" s="360"/>
      <c r="J37" s="360"/>
      <c r="K37" s="360"/>
      <c r="L37" s="360"/>
      <c r="M37" s="361"/>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60"/>
      <c r="D38" s="360"/>
      <c r="E38" s="360"/>
      <c r="F38" s="360"/>
      <c r="G38" s="360"/>
      <c r="H38" s="360"/>
      <c r="I38" s="360"/>
      <c r="J38" s="360"/>
      <c r="K38" s="360"/>
      <c r="L38" s="360"/>
      <c r="M38" s="361"/>
      <c r="N38" s="211"/>
      <c r="O38" s="211"/>
      <c r="P38" s="366"/>
      <c r="Q38" s="366"/>
      <c r="R38" s="366"/>
      <c r="S38" s="366"/>
      <c r="T38" s="366"/>
      <c r="U38" s="366"/>
      <c r="V38" s="366"/>
      <c r="W38" s="366"/>
      <c r="X38" s="366"/>
      <c r="Y38" s="366"/>
      <c r="Z38" s="366"/>
      <c r="AA38" s="207"/>
      <c r="AB38" s="207"/>
      <c r="AC38" s="365"/>
      <c r="AD38" s="365"/>
      <c r="AE38" s="365"/>
      <c r="AF38" s="365"/>
      <c r="AG38" s="365"/>
      <c r="AH38" s="365"/>
      <c r="AI38" s="365"/>
      <c r="AJ38" s="365"/>
      <c r="AK38" s="365"/>
      <c r="AL38" s="365"/>
      <c r="AM38" s="365"/>
      <c r="AN38" s="207"/>
      <c r="AO38" s="207"/>
      <c r="AP38" s="365"/>
      <c r="AQ38" s="365"/>
      <c r="AR38" s="365"/>
      <c r="AS38" s="365"/>
      <c r="AT38" s="365"/>
      <c r="AU38" s="365"/>
      <c r="AV38" s="365"/>
      <c r="AW38" s="365"/>
      <c r="AX38" s="365"/>
      <c r="AY38" s="365"/>
      <c r="AZ38" s="365"/>
      <c r="BA38" s="207"/>
      <c r="BB38" s="207"/>
      <c r="BC38" s="365"/>
      <c r="BD38" s="365"/>
      <c r="BE38" s="365"/>
      <c r="BF38" s="365"/>
      <c r="BG38" s="365"/>
      <c r="BH38" s="365"/>
      <c r="BI38" s="365"/>
      <c r="BJ38" s="365"/>
      <c r="BK38" s="365"/>
      <c r="BL38" s="365"/>
      <c r="BM38" s="365"/>
      <c r="BN38" s="207"/>
      <c r="BO38" s="207"/>
      <c r="BP38" s="365"/>
      <c r="BQ38" s="365"/>
      <c r="BR38" s="365"/>
      <c r="BS38" s="365"/>
      <c r="BT38" s="365"/>
      <c r="BU38" s="365"/>
      <c r="BV38" s="365"/>
      <c r="BW38" s="365"/>
      <c r="BX38" s="365"/>
      <c r="BY38" s="365"/>
      <c r="BZ38" s="365"/>
      <c r="CA38" s="207"/>
      <c r="CB38" s="207"/>
      <c r="CC38" s="365"/>
      <c r="CD38" s="365"/>
      <c r="CE38" s="365"/>
      <c r="CF38" s="365"/>
      <c r="CG38" s="365"/>
      <c r="CH38" s="365"/>
      <c r="CI38" s="365"/>
      <c r="CJ38" s="365"/>
      <c r="CK38" s="365"/>
      <c r="CL38" s="365"/>
      <c r="CM38" s="365"/>
      <c r="CN38" s="207"/>
      <c r="CO38" s="207"/>
      <c r="CP38" s="365"/>
      <c r="CQ38" s="365"/>
      <c r="CR38" s="365"/>
      <c r="CS38" s="365"/>
      <c r="CT38" s="365"/>
      <c r="CU38" s="365"/>
      <c r="CV38" s="365"/>
      <c r="CW38" s="365"/>
      <c r="CX38" s="365"/>
      <c r="CY38" s="365"/>
      <c r="CZ38" s="365"/>
      <c r="DA38" s="207"/>
      <c r="DB38" s="207"/>
      <c r="DC38" s="365"/>
      <c r="DD38" s="365"/>
      <c r="DE38" s="365"/>
      <c r="DF38" s="365"/>
      <c r="DG38" s="365"/>
      <c r="DH38" s="365"/>
      <c r="DI38" s="365"/>
      <c r="DJ38" s="365"/>
      <c r="DK38" s="365"/>
      <c r="DL38" s="365"/>
      <c r="DM38" s="365"/>
      <c r="DN38" s="207"/>
      <c r="DO38" s="207"/>
      <c r="DP38" s="365"/>
      <c r="DQ38" s="365"/>
      <c r="DR38" s="365"/>
      <c r="DS38" s="365"/>
      <c r="DT38" s="365"/>
      <c r="DU38" s="365"/>
      <c r="DV38" s="365"/>
      <c r="DW38" s="365"/>
      <c r="DX38" s="365"/>
      <c r="DY38" s="365"/>
      <c r="DZ38" s="365"/>
      <c r="EA38" s="207"/>
      <c r="EB38" s="207"/>
      <c r="EC38" s="365"/>
      <c r="ED38" s="365"/>
      <c r="EE38" s="365"/>
      <c r="EF38" s="365"/>
      <c r="EG38" s="365"/>
      <c r="EH38" s="365"/>
      <c r="EI38" s="365"/>
      <c r="EJ38" s="365"/>
      <c r="EK38" s="365"/>
      <c r="EL38" s="365"/>
      <c r="EM38" s="365"/>
      <c r="EN38" s="207"/>
      <c r="EO38" s="207"/>
      <c r="EP38" s="365"/>
      <c r="EQ38" s="365"/>
      <c r="ER38" s="365"/>
      <c r="ES38" s="365"/>
      <c r="ET38" s="365"/>
      <c r="EU38" s="365"/>
      <c r="EV38" s="365"/>
      <c r="EW38" s="365"/>
      <c r="EX38" s="365"/>
      <c r="EY38" s="365"/>
      <c r="EZ38" s="365"/>
      <c r="FA38" s="207"/>
      <c r="FB38" s="207"/>
      <c r="FC38" s="365"/>
      <c r="FD38" s="365"/>
      <c r="FE38" s="365"/>
      <c r="FF38" s="365"/>
      <c r="FG38" s="365"/>
      <c r="FH38" s="365"/>
      <c r="FI38" s="365"/>
      <c r="FJ38" s="365"/>
      <c r="FK38" s="365"/>
      <c r="FL38" s="365"/>
      <c r="FM38" s="365"/>
      <c r="FN38" s="207"/>
      <c r="FO38" s="207"/>
      <c r="FP38" s="365"/>
      <c r="FQ38" s="365"/>
      <c r="FR38" s="365"/>
      <c r="FS38" s="365"/>
      <c r="FT38" s="365"/>
      <c r="FU38" s="365"/>
      <c r="FV38" s="365"/>
      <c r="FW38" s="365"/>
      <c r="FX38" s="365"/>
      <c r="FY38" s="365"/>
      <c r="FZ38" s="365"/>
      <c r="GA38" s="207"/>
      <c r="GB38" s="207"/>
      <c r="GC38" s="365"/>
      <c r="GD38" s="365"/>
      <c r="GE38" s="365"/>
      <c r="GF38" s="365"/>
      <c r="GG38" s="365"/>
      <c r="GH38" s="365"/>
      <c r="GI38" s="365"/>
      <c r="GJ38" s="365"/>
      <c r="GK38" s="365"/>
      <c r="GL38" s="365"/>
      <c r="GM38" s="365"/>
      <c r="GN38" s="207"/>
      <c r="GO38" s="207"/>
      <c r="GP38" s="365"/>
      <c r="GQ38" s="365"/>
      <c r="GR38" s="365"/>
      <c r="GS38" s="365"/>
      <c r="GT38" s="365"/>
      <c r="GU38" s="365"/>
      <c r="GV38" s="365"/>
      <c r="GW38" s="365"/>
      <c r="GX38" s="365"/>
      <c r="GY38" s="365"/>
      <c r="GZ38" s="365"/>
      <c r="HA38" s="207"/>
      <c r="HB38" s="207"/>
      <c r="HC38" s="365"/>
      <c r="HD38" s="365"/>
      <c r="HE38" s="365"/>
      <c r="HF38" s="365"/>
      <c r="HG38" s="365"/>
      <c r="HH38" s="365"/>
      <c r="HI38" s="365"/>
      <c r="HJ38" s="365"/>
      <c r="HK38" s="365"/>
      <c r="HL38" s="365"/>
      <c r="HM38" s="365"/>
      <c r="HN38" s="207"/>
      <c r="HO38" s="207"/>
      <c r="HP38" s="365"/>
      <c r="HQ38" s="365"/>
      <c r="HR38" s="365"/>
      <c r="HS38" s="365"/>
      <c r="HT38" s="365"/>
      <c r="HU38" s="365"/>
      <c r="HV38" s="365"/>
      <c r="HW38" s="365"/>
      <c r="HX38" s="365"/>
      <c r="HY38" s="365"/>
      <c r="HZ38" s="365"/>
      <c r="IA38" s="207"/>
      <c r="IB38" s="207"/>
      <c r="IC38" s="365"/>
      <c r="ID38" s="365"/>
      <c r="IE38" s="365"/>
      <c r="IF38" s="365"/>
      <c r="IG38" s="365"/>
      <c r="IH38" s="365"/>
      <c r="II38" s="365"/>
      <c r="IJ38" s="365"/>
      <c r="IK38" s="365"/>
      <c r="IL38" s="365"/>
      <c r="IM38" s="365"/>
      <c r="IN38" s="207"/>
      <c r="IO38" s="207"/>
      <c r="IP38" s="365"/>
      <c r="IQ38" s="365"/>
      <c r="IR38" s="365"/>
      <c r="IS38" s="365"/>
      <c r="IT38" s="365"/>
      <c r="IU38" s="365"/>
      <c r="IV38" s="365"/>
    </row>
    <row r="39" spans="1:256" x14ac:dyDescent="0.2">
      <c r="A39" s="218"/>
      <c r="B39" s="219"/>
      <c r="C39" s="360"/>
      <c r="D39" s="360"/>
      <c r="E39" s="360"/>
      <c r="F39" s="360"/>
      <c r="G39" s="360"/>
      <c r="H39" s="360"/>
      <c r="I39" s="360"/>
      <c r="J39" s="360"/>
      <c r="K39" s="360"/>
      <c r="L39" s="360"/>
      <c r="M39" s="361"/>
      <c r="N39" s="211"/>
      <c r="O39" s="211"/>
      <c r="P39" s="366"/>
      <c r="Q39" s="366"/>
      <c r="R39" s="366"/>
      <c r="S39" s="366"/>
      <c r="T39" s="366"/>
      <c r="U39" s="366"/>
      <c r="V39" s="366"/>
      <c r="W39" s="366"/>
      <c r="X39" s="366"/>
      <c r="Y39" s="366"/>
      <c r="Z39" s="366"/>
      <c r="AA39" s="207"/>
      <c r="AB39" s="207"/>
      <c r="AC39" s="365"/>
      <c r="AD39" s="365"/>
      <c r="AE39" s="365"/>
      <c r="AF39" s="365"/>
      <c r="AG39" s="365"/>
      <c r="AH39" s="365"/>
      <c r="AI39" s="365"/>
      <c r="AJ39" s="365"/>
      <c r="AK39" s="365"/>
      <c r="AL39" s="365"/>
      <c r="AM39" s="365"/>
      <c r="AN39" s="207"/>
      <c r="AO39" s="207"/>
      <c r="AP39" s="365"/>
      <c r="AQ39" s="365"/>
      <c r="AR39" s="365"/>
      <c r="AS39" s="365"/>
      <c r="AT39" s="365"/>
      <c r="AU39" s="365"/>
      <c r="AV39" s="365"/>
      <c r="AW39" s="365"/>
      <c r="AX39" s="365"/>
      <c r="AY39" s="365"/>
      <c r="AZ39" s="365"/>
      <c r="BA39" s="207"/>
      <c r="BB39" s="207"/>
      <c r="BC39" s="365"/>
      <c r="BD39" s="365"/>
      <c r="BE39" s="365"/>
      <c r="BF39" s="365"/>
      <c r="BG39" s="365"/>
      <c r="BH39" s="365"/>
      <c r="BI39" s="365"/>
      <c r="BJ39" s="365"/>
      <c r="BK39" s="365"/>
      <c r="BL39" s="365"/>
      <c r="BM39" s="365"/>
      <c r="BN39" s="207"/>
      <c r="BO39" s="207"/>
      <c r="BP39" s="365"/>
      <c r="BQ39" s="365"/>
      <c r="BR39" s="365"/>
      <c r="BS39" s="365"/>
      <c r="BT39" s="365"/>
      <c r="BU39" s="365"/>
      <c r="BV39" s="365"/>
      <c r="BW39" s="365"/>
      <c r="BX39" s="365"/>
      <c r="BY39" s="365"/>
      <c r="BZ39" s="365"/>
      <c r="CA39" s="207"/>
      <c r="CB39" s="207"/>
      <c r="CC39" s="365"/>
      <c r="CD39" s="365"/>
      <c r="CE39" s="365"/>
      <c r="CF39" s="365"/>
      <c r="CG39" s="365"/>
      <c r="CH39" s="365"/>
      <c r="CI39" s="365"/>
      <c r="CJ39" s="365"/>
      <c r="CK39" s="365"/>
      <c r="CL39" s="365"/>
      <c r="CM39" s="365"/>
      <c r="CN39" s="207"/>
      <c r="CO39" s="207"/>
      <c r="CP39" s="365"/>
      <c r="CQ39" s="365"/>
      <c r="CR39" s="365"/>
      <c r="CS39" s="365"/>
      <c r="CT39" s="365"/>
      <c r="CU39" s="365"/>
      <c r="CV39" s="365"/>
      <c r="CW39" s="365"/>
      <c r="CX39" s="365"/>
      <c r="CY39" s="365"/>
      <c r="CZ39" s="365"/>
      <c r="DA39" s="207"/>
      <c r="DB39" s="207"/>
      <c r="DC39" s="365"/>
      <c r="DD39" s="365"/>
      <c r="DE39" s="365"/>
      <c r="DF39" s="365"/>
      <c r="DG39" s="365"/>
      <c r="DH39" s="365"/>
      <c r="DI39" s="365"/>
      <c r="DJ39" s="365"/>
      <c r="DK39" s="365"/>
      <c r="DL39" s="365"/>
      <c r="DM39" s="365"/>
      <c r="DN39" s="207"/>
      <c r="DO39" s="207"/>
      <c r="DP39" s="365"/>
      <c r="DQ39" s="365"/>
      <c r="DR39" s="365"/>
      <c r="DS39" s="365"/>
      <c r="DT39" s="365"/>
      <c r="DU39" s="365"/>
      <c r="DV39" s="365"/>
      <c r="DW39" s="365"/>
      <c r="DX39" s="365"/>
      <c r="DY39" s="365"/>
      <c r="DZ39" s="365"/>
      <c r="EA39" s="207"/>
      <c r="EB39" s="207"/>
      <c r="EC39" s="365"/>
      <c r="ED39" s="365"/>
      <c r="EE39" s="365"/>
      <c r="EF39" s="365"/>
      <c r="EG39" s="365"/>
      <c r="EH39" s="365"/>
      <c r="EI39" s="365"/>
      <c r="EJ39" s="365"/>
      <c r="EK39" s="365"/>
      <c r="EL39" s="365"/>
      <c r="EM39" s="365"/>
      <c r="EN39" s="207"/>
      <c r="EO39" s="207"/>
      <c r="EP39" s="365"/>
      <c r="EQ39" s="365"/>
      <c r="ER39" s="365"/>
      <c r="ES39" s="365"/>
      <c r="ET39" s="365"/>
      <c r="EU39" s="365"/>
      <c r="EV39" s="365"/>
      <c r="EW39" s="365"/>
      <c r="EX39" s="365"/>
      <c r="EY39" s="365"/>
      <c r="EZ39" s="365"/>
      <c r="FA39" s="207"/>
      <c r="FB39" s="207"/>
      <c r="FC39" s="365"/>
      <c r="FD39" s="365"/>
      <c r="FE39" s="365"/>
      <c r="FF39" s="365"/>
      <c r="FG39" s="365"/>
      <c r="FH39" s="365"/>
      <c r="FI39" s="365"/>
      <c r="FJ39" s="365"/>
      <c r="FK39" s="365"/>
      <c r="FL39" s="365"/>
      <c r="FM39" s="365"/>
      <c r="FN39" s="207"/>
      <c r="FO39" s="207"/>
      <c r="FP39" s="365"/>
      <c r="FQ39" s="365"/>
      <c r="FR39" s="365"/>
      <c r="FS39" s="365"/>
      <c r="FT39" s="365"/>
      <c r="FU39" s="365"/>
      <c r="FV39" s="365"/>
      <c r="FW39" s="365"/>
      <c r="FX39" s="365"/>
      <c r="FY39" s="365"/>
      <c r="FZ39" s="365"/>
      <c r="GA39" s="207"/>
      <c r="GB39" s="207"/>
      <c r="GC39" s="365"/>
      <c r="GD39" s="365"/>
      <c r="GE39" s="365"/>
      <c r="GF39" s="365"/>
      <c r="GG39" s="365"/>
      <c r="GH39" s="365"/>
      <c r="GI39" s="365"/>
      <c r="GJ39" s="365"/>
      <c r="GK39" s="365"/>
      <c r="GL39" s="365"/>
      <c r="GM39" s="365"/>
      <c r="GN39" s="207"/>
      <c r="GO39" s="207"/>
      <c r="GP39" s="365"/>
      <c r="GQ39" s="365"/>
      <c r="GR39" s="365"/>
      <c r="GS39" s="365"/>
      <c r="GT39" s="365"/>
      <c r="GU39" s="365"/>
      <c r="GV39" s="365"/>
      <c r="GW39" s="365"/>
      <c r="GX39" s="365"/>
      <c r="GY39" s="365"/>
      <c r="GZ39" s="365"/>
      <c r="HA39" s="207"/>
      <c r="HB39" s="207"/>
      <c r="HC39" s="365"/>
      <c r="HD39" s="365"/>
      <c r="HE39" s="365"/>
      <c r="HF39" s="365"/>
      <c r="HG39" s="365"/>
      <c r="HH39" s="365"/>
      <c r="HI39" s="365"/>
      <c r="HJ39" s="365"/>
      <c r="HK39" s="365"/>
      <c r="HL39" s="365"/>
      <c r="HM39" s="365"/>
      <c r="HN39" s="207"/>
      <c r="HO39" s="207"/>
      <c r="HP39" s="365"/>
      <c r="HQ39" s="365"/>
      <c r="HR39" s="365"/>
      <c r="HS39" s="365"/>
      <c r="HT39" s="365"/>
      <c r="HU39" s="365"/>
      <c r="HV39" s="365"/>
      <c r="HW39" s="365"/>
      <c r="HX39" s="365"/>
      <c r="HY39" s="365"/>
      <c r="HZ39" s="365"/>
      <c r="IA39" s="207"/>
      <c r="IB39" s="207"/>
      <c r="IC39" s="365"/>
      <c r="ID39" s="365"/>
      <c r="IE39" s="365"/>
      <c r="IF39" s="365"/>
      <c r="IG39" s="365"/>
      <c r="IH39" s="365"/>
      <c r="II39" s="365"/>
      <c r="IJ39" s="365"/>
      <c r="IK39" s="365"/>
      <c r="IL39" s="365"/>
      <c r="IM39" s="365"/>
      <c r="IN39" s="207"/>
      <c r="IO39" s="207"/>
      <c r="IP39" s="365"/>
      <c r="IQ39" s="365"/>
      <c r="IR39" s="365"/>
      <c r="IS39" s="365"/>
      <c r="IT39" s="365"/>
      <c r="IU39" s="365"/>
      <c r="IV39" s="365"/>
    </row>
    <row r="40" spans="1:256" x14ac:dyDescent="0.2">
      <c r="A40" s="218"/>
      <c r="B40" s="219"/>
      <c r="C40" s="360"/>
      <c r="D40" s="360"/>
      <c r="E40" s="360"/>
      <c r="F40" s="360"/>
      <c r="G40" s="360"/>
      <c r="H40" s="360"/>
      <c r="I40" s="360"/>
      <c r="J40" s="360"/>
      <c r="K40" s="360"/>
      <c r="L40" s="360"/>
      <c r="M40" s="361"/>
      <c r="N40" s="211"/>
      <c r="O40" s="211"/>
      <c r="P40" s="366"/>
      <c r="Q40" s="366"/>
      <c r="R40" s="366"/>
      <c r="S40" s="366"/>
      <c r="T40" s="366"/>
      <c r="U40" s="366"/>
      <c r="V40" s="366"/>
      <c r="W40" s="366"/>
      <c r="X40" s="366"/>
      <c r="Y40" s="366"/>
      <c r="Z40" s="366"/>
      <c r="AA40" s="207"/>
      <c r="AB40" s="207"/>
      <c r="AC40" s="365"/>
      <c r="AD40" s="365"/>
      <c r="AE40" s="365"/>
      <c r="AF40" s="365"/>
      <c r="AG40" s="365"/>
      <c r="AH40" s="365"/>
      <c r="AI40" s="365"/>
      <c r="AJ40" s="365"/>
      <c r="AK40" s="365"/>
      <c r="AL40" s="365"/>
      <c r="AM40" s="365"/>
      <c r="AN40" s="207"/>
      <c r="AO40" s="207"/>
      <c r="AP40" s="365"/>
      <c r="AQ40" s="365"/>
      <c r="AR40" s="365"/>
      <c r="AS40" s="365"/>
      <c r="AT40" s="365"/>
      <c r="AU40" s="365"/>
      <c r="AV40" s="365"/>
      <c r="AW40" s="365"/>
      <c r="AX40" s="365"/>
      <c r="AY40" s="365"/>
      <c r="AZ40" s="365"/>
      <c r="BA40" s="207"/>
      <c r="BB40" s="207"/>
      <c r="BC40" s="365"/>
      <c r="BD40" s="365"/>
      <c r="BE40" s="365"/>
      <c r="BF40" s="365"/>
      <c r="BG40" s="365"/>
      <c r="BH40" s="365"/>
      <c r="BI40" s="365"/>
      <c r="BJ40" s="365"/>
      <c r="BK40" s="365"/>
      <c r="BL40" s="365"/>
      <c r="BM40" s="365"/>
      <c r="BN40" s="207"/>
      <c r="BO40" s="207"/>
      <c r="BP40" s="365"/>
      <c r="BQ40" s="365"/>
      <c r="BR40" s="365"/>
      <c r="BS40" s="365"/>
      <c r="BT40" s="365"/>
      <c r="BU40" s="365"/>
      <c r="BV40" s="365"/>
      <c r="BW40" s="365"/>
      <c r="BX40" s="365"/>
      <c r="BY40" s="365"/>
      <c r="BZ40" s="365"/>
      <c r="CA40" s="207"/>
      <c r="CB40" s="207"/>
      <c r="CC40" s="365"/>
      <c r="CD40" s="365"/>
      <c r="CE40" s="365"/>
      <c r="CF40" s="365"/>
      <c r="CG40" s="365"/>
      <c r="CH40" s="365"/>
      <c r="CI40" s="365"/>
      <c r="CJ40" s="365"/>
      <c r="CK40" s="365"/>
      <c r="CL40" s="365"/>
      <c r="CM40" s="365"/>
      <c r="CN40" s="207"/>
      <c r="CO40" s="207"/>
      <c r="CP40" s="365"/>
      <c r="CQ40" s="365"/>
      <c r="CR40" s="365"/>
      <c r="CS40" s="365"/>
      <c r="CT40" s="365"/>
      <c r="CU40" s="365"/>
      <c r="CV40" s="365"/>
      <c r="CW40" s="365"/>
      <c r="CX40" s="365"/>
      <c r="CY40" s="365"/>
      <c r="CZ40" s="365"/>
      <c r="DA40" s="207"/>
      <c r="DB40" s="207"/>
      <c r="DC40" s="365"/>
      <c r="DD40" s="365"/>
      <c r="DE40" s="365"/>
      <c r="DF40" s="365"/>
      <c r="DG40" s="365"/>
      <c r="DH40" s="365"/>
      <c r="DI40" s="365"/>
      <c r="DJ40" s="365"/>
      <c r="DK40" s="365"/>
      <c r="DL40" s="365"/>
      <c r="DM40" s="365"/>
      <c r="DN40" s="207"/>
      <c r="DO40" s="207"/>
      <c r="DP40" s="365"/>
      <c r="DQ40" s="365"/>
      <c r="DR40" s="365"/>
      <c r="DS40" s="365"/>
      <c r="DT40" s="365"/>
      <c r="DU40" s="365"/>
      <c r="DV40" s="365"/>
      <c r="DW40" s="365"/>
      <c r="DX40" s="365"/>
      <c r="DY40" s="365"/>
      <c r="DZ40" s="365"/>
      <c r="EA40" s="207"/>
      <c r="EB40" s="207"/>
      <c r="EC40" s="365"/>
      <c r="ED40" s="365"/>
      <c r="EE40" s="365"/>
      <c r="EF40" s="365"/>
      <c r="EG40" s="365"/>
      <c r="EH40" s="365"/>
      <c r="EI40" s="365"/>
      <c r="EJ40" s="365"/>
      <c r="EK40" s="365"/>
      <c r="EL40" s="365"/>
      <c r="EM40" s="365"/>
      <c r="EN40" s="207"/>
      <c r="EO40" s="207"/>
      <c r="EP40" s="365"/>
      <c r="EQ40" s="365"/>
      <c r="ER40" s="365"/>
      <c r="ES40" s="365"/>
      <c r="ET40" s="365"/>
      <c r="EU40" s="365"/>
      <c r="EV40" s="365"/>
      <c r="EW40" s="365"/>
      <c r="EX40" s="365"/>
      <c r="EY40" s="365"/>
      <c r="EZ40" s="365"/>
      <c r="FA40" s="207"/>
      <c r="FB40" s="207"/>
      <c r="FC40" s="365"/>
      <c r="FD40" s="365"/>
      <c r="FE40" s="365"/>
      <c r="FF40" s="365"/>
      <c r="FG40" s="365"/>
      <c r="FH40" s="365"/>
      <c r="FI40" s="365"/>
      <c r="FJ40" s="365"/>
      <c r="FK40" s="365"/>
      <c r="FL40" s="365"/>
      <c r="FM40" s="365"/>
      <c r="FN40" s="207"/>
      <c r="FO40" s="207"/>
      <c r="FP40" s="365"/>
      <c r="FQ40" s="365"/>
      <c r="FR40" s="365"/>
      <c r="FS40" s="365"/>
      <c r="FT40" s="365"/>
      <c r="FU40" s="365"/>
      <c r="FV40" s="365"/>
      <c r="FW40" s="365"/>
      <c r="FX40" s="365"/>
      <c r="FY40" s="365"/>
      <c r="FZ40" s="365"/>
      <c r="GA40" s="207"/>
      <c r="GB40" s="207"/>
      <c r="GC40" s="365"/>
      <c r="GD40" s="365"/>
      <c r="GE40" s="365"/>
      <c r="GF40" s="365"/>
      <c r="GG40" s="365"/>
      <c r="GH40" s="365"/>
      <c r="GI40" s="365"/>
      <c r="GJ40" s="365"/>
      <c r="GK40" s="365"/>
      <c r="GL40" s="365"/>
      <c r="GM40" s="365"/>
      <c r="GN40" s="207"/>
      <c r="GO40" s="207"/>
      <c r="GP40" s="365"/>
      <c r="GQ40" s="365"/>
      <c r="GR40" s="365"/>
      <c r="GS40" s="365"/>
      <c r="GT40" s="365"/>
      <c r="GU40" s="365"/>
      <c r="GV40" s="365"/>
      <c r="GW40" s="365"/>
      <c r="GX40" s="365"/>
      <c r="GY40" s="365"/>
      <c r="GZ40" s="365"/>
      <c r="HA40" s="207"/>
      <c r="HB40" s="207"/>
      <c r="HC40" s="365"/>
      <c r="HD40" s="365"/>
      <c r="HE40" s="365"/>
      <c r="HF40" s="365"/>
      <c r="HG40" s="365"/>
      <c r="HH40" s="365"/>
      <c r="HI40" s="365"/>
      <c r="HJ40" s="365"/>
      <c r="HK40" s="365"/>
      <c r="HL40" s="365"/>
      <c r="HM40" s="365"/>
      <c r="HN40" s="207"/>
      <c r="HO40" s="207"/>
      <c r="HP40" s="365"/>
      <c r="HQ40" s="365"/>
      <c r="HR40" s="365"/>
      <c r="HS40" s="365"/>
      <c r="HT40" s="365"/>
      <c r="HU40" s="365"/>
      <c r="HV40" s="365"/>
      <c r="HW40" s="365"/>
      <c r="HX40" s="365"/>
      <c r="HY40" s="365"/>
      <c r="HZ40" s="365"/>
      <c r="IA40" s="207"/>
      <c r="IB40" s="207"/>
      <c r="IC40" s="365"/>
      <c r="ID40" s="365"/>
      <c r="IE40" s="365"/>
      <c r="IF40" s="365"/>
      <c r="IG40" s="365"/>
      <c r="IH40" s="365"/>
      <c r="II40" s="365"/>
      <c r="IJ40" s="365"/>
      <c r="IK40" s="365"/>
      <c r="IL40" s="365"/>
      <c r="IM40" s="365"/>
      <c r="IN40" s="207"/>
      <c r="IO40" s="207"/>
      <c r="IP40" s="365"/>
      <c r="IQ40" s="365"/>
      <c r="IR40" s="365"/>
      <c r="IS40" s="365"/>
      <c r="IT40" s="365"/>
      <c r="IU40" s="365"/>
      <c r="IV40" s="365"/>
    </row>
    <row r="41" spans="1:256" x14ac:dyDescent="0.2">
      <c r="A41" s="218"/>
      <c r="B41" s="219"/>
      <c r="C41" s="360"/>
      <c r="D41" s="360"/>
      <c r="E41" s="360"/>
      <c r="F41" s="360"/>
      <c r="G41" s="360"/>
      <c r="H41" s="360"/>
      <c r="I41" s="360"/>
      <c r="J41" s="360"/>
      <c r="K41" s="360"/>
      <c r="L41" s="360"/>
      <c r="M41" s="361"/>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60"/>
      <c r="D42" s="360"/>
      <c r="E42" s="360"/>
      <c r="F42" s="360"/>
      <c r="G42" s="360"/>
      <c r="H42" s="360"/>
      <c r="I42" s="360"/>
      <c r="J42" s="360"/>
      <c r="K42" s="360"/>
      <c r="L42" s="360"/>
      <c r="M42" s="361"/>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60"/>
      <c r="D43" s="360"/>
      <c r="E43" s="360"/>
      <c r="F43" s="360"/>
      <c r="G43" s="360"/>
      <c r="H43" s="360"/>
      <c r="I43" s="360"/>
      <c r="J43" s="360"/>
      <c r="K43" s="360"/>
      <c r="L43" s="360"/>
      <c r="M43" s="361"/>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60"/>
      <c r="D44" s="360"/>
      <c r="E44" s="360"/>
      <c r="F44" s="360"/>
      <c r="G44" s="360"/>
      <c r="H44" s="360"/>
      <c r="I44" s="360"/>
      <c r="J44" s="360"/>
      <c r="K44" s="360"/>
      <c r="L44" s="360"/>
      <c r="M44" s="361"/>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60"/>
      <c r="D45" s="360"/>
      <c r="E45" s="360"/>
      <c r="F45" s="360"/>
      <c r="G45" s="360"/>
      <c r="H45" s="360"/>
      <c r="I45" s="360"/>
      <c r="J45" s="360"/>
      <c r="K45" s="360"/>
      <c r="L45" s="360"/>
      <c r="M45" s="361"/>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60"/>
      <c r="D46" s="360"/>
      <c r="E46" s="360"/>
      <c r="F46" s="360"/>
      <c r="G46" s="360"/>
      <c r="H46" s="360"/>
      <c r="I46" s="360"/>
      <c r="J46" s="360"/>
      <c r="K46" s="360"/>
      <c r="L46" s="360"/>
      <c r="M46" s="361"/>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60"/>
      <c r="D47" s="360"/>
      <c r="E47" s="360"/>
      <c r="F47" s="360"/>
      <c r="G47" s="360"/>
      <c r="H47" s="360"/>
      <c r="I47" s="360"/>
      <c r="J47" s="360"/>
      <c r="K47" s="360"/>
      <c r="L47" s="360"/>
      <c r="M47" s="361"/>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60"/>
      <c r="D48" s="360"/>
      <c r="E48" s="360"/>
      <c r="F48" s="360"/>
      <c r="G48" s="360"/>
      <c r="H48" s="360"/>
      <c r="I48" s="360"/>
      <c r="J48" s="360"/>
      <c r="K48" s="360"/>
      <c r="L48" s="360"/>
      <c r="M48" s="361"/>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60"/>
      <c r="D49" s="360"/>
      <c r="E49" s="360"/>
      <c r="F49" s="360"/>
      <c r="G49" s="360"/>
      <c r="H49" s="360"/>
      <c r="I49" s="360"/>
      <c r="J49" s="360"/>
      <c r="K49" s="360"/>
      <c r="L49" s="360"/>
      <c r="M49" s="361"/>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60"/>
      <c r="D50" s="360"/>
      <c r="E50" s="360"/>
      <c r="F50" s="360"/>
      <c r="G50" s="360"/>
      <c r="H50" s="360"/>
      <c r="I50" s="360"/>
      <c r="J50" s="360"/>
      <c r="K50" s="360"/>
      <c r="L50" s="360"/>
      <c r="M50" s="361"/>
      <c r="N50" s="126"/>
      <c r="O50" s="126"/>
      <c r="P50" s="126"/>
      <c r="Q50" s="126"/>
      <c r="R50" s="126"/>
      <c r="S50" s="126"/>
      <c r="T50" s="126"/>
      <c r="U50" s="126"/>
      <c r="V50" s="126"/>
      <c r="W50" s="126"/>
      <c r="X50" s="126"/>
      <c r="Y50" s="126"/>
      <c r="Z50" s="126"/>
    </row>
    <row r="51" spans="1:256" x14ac:dyDescent="0.2">
      <c r="A51" s="218"/>
      <c r="B51" s="219"/>
      <c r="C51" s="360"/>
      <c r="D51" s="360"/>
      <c r="E51" s="360"/>
      <c r="F51" s="360"/>
      <c r="G51" s="360"/>
      <c r="H51" s="360"/>
      <c r="I51" s="360"/>
      <c r="J51" s="360"/>
      <c r="K51" s="360"/>
      <c r="L51" s="360"/>
      <c r="M51" s="361"/>
      <c r="N51" s="126"/>
      <c r="O51" s="126"/>
      <c r="P51" s="126"/>
      <c r="Q51" s="126"/>
      <c r="R51" s="126"/>
      <c r="S51" s="126"/>
      <c r="T51" s="126"/>
      <c r="U51" s="126"/>
      <c r="V51" s="126"/>
      <c r="W51" s="126"/>
      <c r="X51" s="126"/>
      <c r="Y51" s="126"/>
      <c r="Z51" s="126"/>
    </row>
    <row r="52" spans="1:256" x14ac:dyDescent="0.2">
      <c r="A52" s="218"/>
      <c r="B52" s="219"/>
      <c r="C52" s="360"/>
      <c r="D52" s="360"/>
      <c r="E52" s="360"/>
      <c r="F52" s="360"/>
      <c r="G52" s="360"/>
      <c r="H52" s="360"/>
      <c r="I52" s="360"/>
      <c r="J52" s="360"/>
      <c r="K52" s="360"/>
      <c r="L52" s="360"/>
      <c r="M52" s="361"/>
      <c r="N52" s="126"/>
      <c r="O52" s="126"/>
      <c r="P52" s="126"/>
      <c r="Q52" s="126"/>
      <c r="R52" s="126"/>
      <c r="S52" s="126"/>
      <c r="T52" s="126"/>
      <c r="U52" s="126"/>
      <c r="V52" s="126"/>
      <c r="W52" s="126"/>
      <c r="X52" s="126"/>
      <c r="Y52" s="126"/>
      <c r="Z52" s="126"/>
    </row>
    <row r="53" spans="1:256" x14ac:dyDescent="0.2">
      <c r="A53" s="218"/>
      <c r="B53" s="219"/>
      <c r="C53" s="360"/>
      <c r="D53" s="360"/>
      <c r="E53" s="360"/>
      <c r="F53" s="360"/>
      <c r="G53" s="360"/>
      <c r="H53" s="360"/>
      <c r="I53" s="360"/>
      <c r="J53" s="360"/>
      <c r="K53" s="360"/>
      <c r="L53" s="360"/>
      <c r="M53" s="361"/>
      <c r="N53" s="126"/>
      <c r="O53" s="126"/>
      <c r="P53" s="126"/>
      <c r="Q53" s="126"/>
      <c r="R53" s="126"/>
      <c r="S53" s="126"/>
      <c r="T53" s="126"/>
      <c r="U53" s="126"/>
      <c r="V53" s="126"/>
      <c r="W53" s="126"/>
      <c r="X53" s="126"/>
      <c r="Y53" s="126"/>
      <c r="Z53" s="126"/>
    </row>
    <row r="54" spans="1:256" x14ac:dyDescent="0.2">
      <c r="A54" s="218"/>
      <c r="B54" s="219"/>
      <c r="C54" s="360"/>
      <c r="D54" s="360"/>
      <c r="E54" s="360"/>
      <c r="F54" s="360"/>
      <c r="G54" s="360"/>
      <c r="H54" s="360"/>
      <c r="I54" s="360"/>
      <c r="J54" s="360"/>
      <c r="K54" s="360"/>
      <c r="L54" s="360"/>
      <c r="M54" s="361"/>
      <c r="N54" s="126"/>
      <c r="O54" s="126"/>
      <c r="P54" s="126"/>
      <c r="Q54" s="126"/>
      <c r="R54" s="126"/>
      <c r="S54" s="126"/>
      <c r="T54" s="126"/>
      <c r="U54" s="126"/>
      <c r="V54" s="126"/>
      <c r="W54" s="126"/>
      <c r="X54" s="126"/>
      <c r="Y54" s="126"/>
      <c r="Z54" s="126"/>
    </row>
    <row r="55" spans="1:256" x14ac:dyDescent="0.2">
      <c r="A55" s="218"/>
      <c r="B55" s="219"/>
      <c r="C55" s="360"/>
      <c r="D55" s="360"/>
      <c r="E55" s="360"/>
      <c r="F55" s="360"/>
      <c r="G55" s="360"/>
      <c r="H55" s="360"/>
      <c r="I55" s="360"/>
      <c r="J55" s="360"/>
      <c r="K55" s="360"/>
      <c r="L55" s="360"/>
      <c r="M55" s="361"/>
      <c r="N55" s="126"/>
      <c r="O55" s="126"/>
      <c r="P55" s="126"/>
      <c r="Q55" s="126"/>
      <c r="R55" s="126"/>
      <c r="S55" s="126"/>
      <c r="T55" s="126"/>
      <c r="U55" s="126"/>
      <c r="V55" s="126"/>
      <c r="W55" s="126"/>
      <c r="X55" s="126"/>
      <c r="Y55" s="126"/>
      <c r="Z55" s="126"/>
    </row>
    <row r="56" spans="1:256" x14ac:dyDescent="0.2">
      <c r="A56" s="218"/>
      <c r="B56" s="219"/>
      <c r="C56" s="360"/>
      <c r="D56" s="360"/>
      <c r="E56" s="360"/>
      <c r="F56" s="360"/>
      <c r="G56" s="360"/>
      <c r="H56" s="360"/>
      <c r="I56" s="360"/>
      <c r="J56" s="360"/>
      <c r="K56" s="360"/>
      <c r="L56" s="360"/>
      <c r="M56" s="361"/>
      <c r="N56" s="126"/>
      <c r="O56" s="126"/>
      <c r="P56" s="126"/>
      <c r="Q56" s="126"/>
      <c r="R56" s="126"/>
      <c r="S56" s="126"/>
      <c r="T56" s="126"/>
      <c r="U56" s="126"/>
      <c r="V56" s="126"/>
      <c r="W56" s="126"/>
      <c r="X56" s="126"/>
      <c r="Y56" s="126"/>
      <c r="Z56" s="126"/>
    </row>
    <row r="57" spans="1:256" x14ac:dyDescent="0.2">
      <c r="A57" s="218"/>
      <c r="B57" s="219"/>
      <c r="C57" s="360"/>
      <c r="D57" s="360"/>
      <c r="E57" s="360"/>
      <c r="F57" s="360"/>
      <c r="G57" s="360"/>
      <c r="H57" s="360"/>
      <c r="I57" s="360"/>
      <c r="J57" s="360"/>
      <c r="K57" s="360"/>
      <c r="L57" s="360"/>
      <c r="M57" s="361"/>
      <c r="N57" s="126"/>
      <c r="O57" s="126"/>
      <c r="P57" s="126"/>
      <c r="Q57" s="126"/>
      <c r="R57" s="126"/>
      <c r="S57" s="126"/>
      <c r="T57" s="126"/>
      <c r="U57" s="126"/>
      <c r="V57" s="126"/>
      <c r="W57" s="126"/>
      <c r="X57" s="126"/>
      <c r="Y57" s="126"/>
      <c r="Z57" s="126"/>
    </row>
    <row r="58" spans="1:256" x14ac:dyDescent="0.2">
      <c r="A58" s="218"/>
      <c r="B58" s="219"/>
      <c r="C58" s="360"/>
      <c r="D58" s="360"/>
      <c r="E58" s="360"/>
      <c r="F58" s="360"/>
      <c r="G58" s="360"/>
      <c r="H58" s="360"/>
      <c r="I58" s="360"/>
      <c r="J58" s="360"/>
      <c r="K58" s="360"/>
      <c r="L58" s="360"/>
      <c r="M58" s="361"/>
      <c r="N58" s="126"/>
      <c r="O58" s="126"/>
      <c r="P58" s="126"/>
      <c r="Q58" s="126"/>
      <c r="R58" s="126"/>
      <c r="S58" s="126"/>
      <c r="T58" s="126"/>
      <c r="U58" s="126"/>
      <c r="V58" s="126"/>
      <c r="W58" s="126"/>
      <c r="X58" s="126"/>
      <c r="Y58" s="126"/>
      <c r="Z58" s="126"/>
    </row>
    <row r="59" spans="1:256" x14ac:dyDescent="0.2">
      <c r="A59" s="218"/>
      <c r="B59" s="219"/>
      <c r="C59" s="360"/>
      <c r="D59" s="360"/>
      <c r="E59" s="360"/>
      <c r="F59" s="360"/>
      <c r="G59" s="360"/>
      <c r="H59" s="360"/>
      <c r="I59" s="360"/>
      <c r="J59" s="360"/>
      <c r="K59" s="360"/>
      <c r="L59" s="360"/>
      <c r="M59" s="361"/>
    </row>
    <row r="60" spans="1:256" x14ac:dyDescent="0.2">
      <c r="A60" s="218"/>
      <c r="B60" s="219"/>
      <c r="C60" s="360"/>
      <c r="D60" s="360"/>
      <c r="E60" s="360"/>
      <c r="F60" s="360"/>
      <c r="G60" s="360"/>
      <c r="H60" s="360"/>
      <c r="I60" s="360"/>
      <c r="J60" s="360"/>
      <c r="K60" s="360"/>
      <c r="L60" s="360"/>
      <c r="M60" s="361"/>
    </row>
    <row r="61" spans="1:256" x14ac:dyDescent="0.2">
      <c r="A61" s="218"/>
      <c r="B61" s="219"/>
      <c r="C61" s="360"/>
      <c r="D61" s="360"/>
      <c r="E61" s="360"/>
      <c r="F61" s="360"/>
      <c r="G61" s="360"/>
      <c r="H61" s="360"/>
      <c r="I61" s="360"/>
      <c r="J61" s="360"/>
      <c r="K61" s="360"/>
      <c r="L61" s="360"/>
      <c r="M61" s="361"/>
    </row>
    <row r="62" spans="1:256" x14ac:dyDescent="0.2">
      <c r="A62" s="218"/>
      <c r="B62" s="219"/>
      <c r="C62" s="360"/>
      <c r="D62" s="360"/>
      <c r="E62" s="360"/>
      <c r="F62" s="360"/>
      <c r="G62" s="360"/>
      <c r="H62" s="360"/>
      <c r="I62" s="360"/>
      <c r="J62" s="360"/>
      <c r="K62" s="360"/>
      <c r="L62" s="360"/>
      <c r="M62" s="361"/>
    </row>
    <row r="63" spans="1:256" x14ac:dyDescent="0.2">
      <c r="A63" s="218"/>
      <c r="B63" s="219"/>
      <c r="C63" s="360"/>
      <c r="D63" s="360"/>
      <c r="E63" s="360"/>
      <c r="F63" s="360"/>
      <c r="G63" s="360"/>
      <c r="H63" s="360"/>
      <c r="I63" s="360"/>
      <c r="J63" s="360"/>
      <c r="K63" s="360"/>
      <c r="L63" s="360"/>
      <c r="M63" s="361"/>
    </row>
    <row r="64" spans="1:256" x14ac:dyDescent="0.2">
      <c r="A64" s="218"/>
      <c r="B64" s="219"/>
      <c r="C64" s="360"/>
      <c r="D64" s="360"/>
      <c r="E64" s="360"/>
      <c r="F64" s="360"/>
      <c r="G64" s="360"/>
      <c r="H64" s="360"/>
      <c r="I64" s="360"/>
      <c r="J64" s="360"/>
      <c r="K64" s="360"/>
      <c r="L64" s="360"/>
      <c r="M64" s="361"/>
    </row>
    <row r="65" spans="1:13" x14ac:dyDescent="0.2">
      <c r="A65" s="218"/>
      <c r="B65" s="219"/>
      <c r="C65" s="360"/>
      <c r="D65" s="360"/>
      <c r="E65" s="360"/>
      <c r="F65" s="360"/>
      <c r="G65" s="360"/>
      <c r="H65" s="360"/>
      <c r="I65" s="360"/>
      <c r="J65" s="360"/>
      <c r="K65" s="360"/>
      <c r="L65" s="360"/>
      <c r="M65" s="361"/>
    </row>
    <row r="66" spans="1:13" x14ac:dyDescent="0.2">
      <c r="A66" s="218"/>
      <c r="B66" s="219"/>
      <c r="C66" s="360"/>
      <c r="D66" s="360"/>
      <c r="E66" s="360"/>
      <c r="F66" s="360"/>
      <c r="G66" s="360"/>
      <c r="H66" s="360"/>
      <c r="I66" s="360"/>
      <c r="J66" s="360"/>
      <c r="K66" s="360"/>
      <c r="L66" s="360"/>
      <c r="M66" s="361"/>
    </row>
    <row r="67" spans="1:13" x14ac:dyDescent="0.2">
      <c r="A67" s="218"/>
      <c r="B67" s="219"/>
      <c r="C67" s="360"/>
      <c r="D67" s="360"/>
      <c r="E67" s="360"/>
      <c r="F67" s="360"/>
      <c r="G67" s="360"/>
      <c r="H67" s="360"/>
      <c r="I67" s="360"/>
      <c r="J67" s="360"/>
      <c r="K67" s="360"/>
      <c r="L67" s="360"/>
      <c r="M67" s="361"/>
    </row>
    <row r="68" spans="1:13" x14ac:dyDescent="0.2">
      <c r="A68" s="218"/>
      <c r="B68" s="219"/>
      <c r="C68" s="360"/>
      <c r="D68" s="360"/>
      <c r="E68" s="360"/>
      <c r="F68" s="360"/>
      <c r="G68" s="360"/>
      <c r="H68" s="360"/>
      <c r="I68" s="360"/>
      <c r="J68" s="360"/>
      <c r="K68" s="360"/>
      <c r="L68" s="360"/>
      <c r="M68" s="361"/>
    </row>
    <row r="69" spans="1:13" x14ac:dyDescent="0.2">
      <c r="A69" s="218"/>
      <c r="B69" s="219"/>
      <c r="C69" s="360"/>
      <c r="D69" s="360"/>
      <c r="E69" s="360"/>
      <c r="F69" s="360"/>
      <c r="G69" s="360"/>
      <c r="H69" s="360"/>
      <c r="I69" s="360"/>
      <c r="J69" s="360"/>
      <c r="K69" s="360"/>
      <c r="L69" s="360"/>
      <c r="M69" s="361"/>
    </row>
    <row r="70" spans="1:13" ht="12" thickBot="1" x14ac:dyDescent="0.25">
      <c r="A70" s="220"/>
      <c r="B70" s="221"/>
      <c r="C70" s="362"/>
      <c r="D70" s="362"/>
      <c r="E70" s="362"/>
      <c r="F70" s="362"/>
      <c r="G70" s="362"/>
      <c r="H70" s="362"/>
      <c r="I70" s="362"/>
      <c r="J70" s="362"/>
      <c r="K70" s="362"/>
      <c r="L70" s="362"/>
      <c r="M70" s="363"/>
    </row>
    <row r="71" spans="1:13" ht="12" thickTop="1" x14ac:dyDescent="0.2">
      <c r="A71" s="208"/>
      <c r="B71" s="208"/>
      <c r="C71" s="209"/>
      <c r="D71" s="209"/>
      <c r="E71" s="209"/>
      <c r="F71" s="209"/>
      <c r="G71" s="209"/>
      <c r="H71" s="209"/>
      <c r="I71" s="209"/>
      <c r="J71" s="209"/>
      <c r="K71" s="209"/>
      <c r="L71" s="209"/>
    </row>
    <row r="72" spans="1:13" ht="12.75" x14ac:dyDescent="0.2">
      <c r="A72" s="364" t="s">
        <v>832</v>
      </c>
      <c r="B72" s="364"/>
      <c r="C72" s="364"/>
      <c r="D72" s="364"/>
      <c r="E72" s="364"/>
      <c r="F72" s="126"/>
      <c r="G72" s="126"/>
      <c r="H72" s="126"/>
      <c r="I72" s="126"/>
      <c r="J72" s="126"/>
      <c r="K72" s="126"/>
      <c r="L72" s="126"/>
      <c r="M72" s="126"/>
    </row>
    <row r="73" spans="1:13" x14ac:dyDescent="0.2">
      <c r="A73" s="210" t="s">
        <v>764</v>
      </c>
      <c r="B73" s="210" t="s">
        <v>765</v>
      </c>
      <c r="C73" s="359"/>
      <c r="D73" s="359"/>
      <c r="E73" s="359"/>
      <c r="F73" s="359"/>
      <c r="G73" s="359"/>
      <c r="H73" s="359"/>
      <c r="I73" s="359"/>
      <c r="J73" s="359"/>
      <c r="K73" s="359"/>
      <c r="L73" s="359"/>
      <c r="M73" s="359"/>
    </row>
    <row r="74" spans="1:13" x14ac:dyDescent="0.2">
      <c r="A74" s="211"/>
      <c r="B74" s="211"/>
      <c r="C74" s="359"/>
      <c r="D74" s="359"/>
      <c r="E74" s="359"/>
      <c r="F74" s="359"/>
      <c r="G74" s="359"/>
      <c r="H74" s="359"/>
      <c r="I74" s="359"/>
      <c r="J74" s="359"/>
      <c r="K74" s="359"/>
      <c r="L74" s="359"/>
      <c r="M74" s="359"/>
    </row>
    <row r="75" spans="1:13" x14ac:dyDescent="0.2">
      <c r="A75" s="211"/>
      <c r="B75" s="211"/>
      <c r="C75" s="359"/>
      <c r="D75" s="359"/>
      <c r="E75" s="359"/>
      <c r="F75" s="359"/>
      <c r="G75" s="359"/>
      <c r="H75" s="359"/>
      <c r="I75" s="359"/>
      <c r="J75" s="359"/>
      <c r="K75" s="359"/>
      <c r="L75" s="359"/>
      <c r="M75" s="359"/>
    </row>
    <row r="76" spans="1:13" x14ac:dyDescent="0.2">
      <c r="A76" s="211"/>
      <c r="B76" s="211"/>
      <c r="C76" s="359"/>
      <c r="D76" s="359"/>
      <c r="E76" s="359"/>
      <c r="F76" s="359"/>
      <c r="G76" s="359"/>
      <c r="H76" s="359"/>
      <c r="I76" s="359"/>
      <c r="J76" s="359"/>
      <c r="K76" s="359"/>
      <c r="L76" s="359"/>
      <c r="M76" s="359"/>
    </row>
    <row r="77" spans="1:13" x14ac:dyDescent="0.2">
      <c r="A77" s="211"/>
      <c r="B77" s="211"/>
      <c r="C77" s="359"/>
      <c r="D77" s="359"/>
      <c r="E77" s="359"/>
      <c r="F77" s="359"/>
      <c r="G77" s="359"/>
      <c r="H77" s="359"/>
      <c r="I77" s="359"/>
      <c r="J77" s="359"/>
      <c r="K77" s="359"/>
      <c r="L77" s="359"/>
      <c r="M77" s="359"/>
    </row>
    <row r="78" spans="1:13" x14ac:dyDescent="0.2">
      <c r="A78" s="211"/>
      <c r="B78" s="211"/>
      <c r="C78" s="359"/>
      <c r="D78" s="359"/>
      <c r="E78" s="359"/>
      <c r="F78" s="359"/>
      <c r="G78" s="359"/>
      <c r="H78" s="359"/>
      <c r="I78" s="359"/>
      <c r="J78" s="359"/>
      <c r="K78" s="359"/>
      <c r="L78" s="359"/>
      <c r="M78" s="359"/>
    </row>
    <row r="79" spans="1:13" x14ac:dyDescent="0.2">
      <c r="A79" s="211"/>
      <c r="B79" s="211"/>
      <c r="C79" s="359"/>
      <c r="D79" s="359"/>
      <c r="E79" s="359"/>
      <c r="F79" s="359"/>
      <c r="G79" s="359"/>
      <c r="H79" s="359"/>
      <c r="I79" s="359"/>
      <c r="J79" s="359"/>
      <c r="K79" s="359"/>
      <c r="L79" s="359"/>
      <c r="M79" s="359"/>
    </row>
    <row r="80" spans="1:13" x14ac:dyDescent="0.2">
      <c r="A80" s="211"/>
      <c r="B80" s="211"/>
      <c r="C80" s="359"/>
      <c r="D80" s="359"/>
      <c r="E80" s="359"/>
      <c r="F80" s="359"/>
      <c r="G80" s="359"/>
      <c r="H80" s="359"/>
      <c r="I80" s="359"/>
      <c r="J80" s="359"/>
      <c r="K80" s="359"/>
      <c r="L80" s="359"/>
      <c r="M80" s="359"/>
    </row>
    <row r="81" spans="1:13" x14ac:dyDescent="0.2">
      <c r="A81" s="211"/>
      <c r="B81" s="211"/>
      <c r="C81" s="359"/>
      <c r="D81" s="359"/>
      <c r="E81" s="359"/>
      <c r="F81" s="359"/>
      <c r="G81" s="359"/>
      <c r="H81" s="359"/>
      <c r="I81" s="359"/>
      <c r="J81" s="359"/>
      <c r="K81" s="359"/>
      <c r="L81" s="359"/>
      <c r="M81" s="359"/>
    </row>
    <row r="82" spans="1:13" x14ac:dyDescent="0.2">
      <c r="A82" s="211"/>
      <c r="B82" s="211"/>
      <c r="C82" s="359"/>
      <c r="D82" s="359"/>
      <c r="E82" s="359"/>
      <c r="F82" s="359"/>
      <c r="G82" s="359"/>
      <c r="H82" s="359"/>
      <c r="I82" s="359"/>
      <c r="J82" s="359"/>
      <c r="K82" s="359"/>
      <c r="L82" s="359"/>
      <c r="M82" s="359"/>
    </row>
    <row r="83" spans="1:13" x14ac:dyDescent="0.2">
      <c r="A83" s="211"/>
      <c r="B83" s="211"/>
      <c r="C83" s="359"/>
      <c r="D83" s="359"/>
      <c r="E83" s="359"/>
      <c r="F83" s="359"/>
      <c r="G83" s="359"/>
      <c r="H83" s="359"/>
      <c r="I83" s="359"/>
      <c r="J83" s="359"/>
      <c r="K83" s="359"/>
      <c r="L83" s="359"/>
      <c r="M83" s="359"/>
    </row>
    <row r="84" spans="1:13" x14ac:dyDescent="0.2">
      <c r="A84" s="211"/>
      <c r="B84" s="211"/>
      <c r="C84" s="359"/>
      <c r="D84" s="359"/>
      <c r="E84" s="359"/>
      <c r="F84" s="359"/>
      <c r="G84" s="359"/>
      <c r="H84" s="359"/>
      <c r="I84" s="359"/>
      <c r="J84" s="359"/>
      <c r="K84" s="359"/>
      <c r="L84" s="359"/>
      <c r="M84" s="359"/>
    </row>
    <row r="85" spans="1:13" x14ac:dyDescent="0.2">
      <c r="A85" s="211"/>
      <c r="B85" s="211"/>
      <c r="C85" s="359"/>
      <c r="D85" s="359"/>
      <c r="E85" s="359"/>
      <c r="F85" s="359"/>
      <c r="G85" s="359"/>
      <c r="H85" s="359"/>
      <c r="I85" s="359"/>
      <c r="J85" s="359"/>
      <c r="K85" s="359"/>
      <c r="L85" s="359"/>
      <c r="M85" s="359"/>
    </row>
    <row r="86" spans="1:13" x14ac:dyDescent="0.2">
      <c r="A86" s="211"/>
      <c r="B86" s="211"/>
      <c r="C86" s="359"/>
      <c r="D86" s="359"/>
      <c r="E86" s="359"/>
      <c r="F86" s="359"/>
      <c r="G86" s="359"/>
      <c r="H86" s="359"/>
      <c r="I86" s="359"/>
      <c r="J86" s="359"/>
      <c r="K86" s="359"/>
      <c r="L86" s="359"/>
      <c r="M86" s="359"/>
    </row>
    <row r="87" spans="1:13" x14ac:dyDescent="0.2">
      <c r="A87" s="211"/>
      <c r="B87" s="211"/>
      <c r="C87" s="359"/>
      <c r="D87" s="359"/>
      <c r="E87" s="359"/>
      <c r="F87" s="359"/>
      <c r="G87" s="359"/>
      <c r="H87" s="359"/>
      <c r="I87" s="359"/>
      <c r="J87" s="359"/>
      <c r="K87" s="359"/>
      <c r="L87" s="359"/>
      <c r="M87" s="359"/>
    </row>
    <row r="88" spans="1:13" x14ac:dyDescent="0.2">
      <c r="A88" s="211"/>
      <c r="B88" s="211"/>
      <c r="C88" s="359"/>
      <c r="D88" s="359"/>
      <c r="E88" s="359"/>
      <c r="F88" s="359"/>
      <c r="G88" s="359"/>
      <c r="H88" s="359"/>
      <c r="I88" s="359"/>
      <c r="J88" s="359"/>
      <c r="K88" s="359"/>
      <c r="L88" s="359"/>
      <c r="M88" s="359"/>
    </row>
    <row r="89" spans="1:13" x14ac:dyDescent="0.2">
      <c r="A89" s="211"/>
      <c r="B89" s="211"/>
      <c r="C89" s="359"/>
      <c r="D89" s="359"/>
      <c r="E89" s="359"/>
      <c r="F89" s="359"/>
      <c r="G89" s="359"/>
      <c r="H89" s="359"/>
      <c r="I89" s="359"/>
      <c r="J89" s="359"/>
      <c r="K89" s="359"/>
      <c r="L89" s="359"/>
      <c r="M89" s="359"/>
    </row>
    <row r="90" spans="1:13" x14ac:dyDescent="0.2">
      <c r="A90" s="211"/>
      <c r="B90" s="211"/>
      <c r="C90" s="359"/>
      <c r="D90" s="359"/>
      <c r="E90" s="359"/>
      <c r="F90" s="359"/>
      <c r="G90" s="359"/>
      <c r="H90" s="359"/>
      <c r="I90" s="359"/>
      <c r="J90" s="359"/>
      <c r="K90" s="359"/>
      <c r="L90" s="359"/>
      <c r="M90" s="359"/>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8:M8"/>
    <mergeCell ref="C13:M13"/>
    <mergeCell ref="C9:M9"/>
    <mergeCell ref="C10:M10"/>
    <mergeCell ref="C11:M11"/>
    <mergeCell ref="C12:M12"/>
    <mergeCell ref="C7:M7"/>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2020-09-28T18:12:58Z</cp:lastPrinted>
  <dcterms:created xsi:type="dcterms:W3CDTF">1997-12-04T19:04:30Z</dcterms:created>
  <dcterms:modified xsi:type="dcterms:W3CDTF">2020-12-11T14:39:42Z</dcterms:modified>
</cp:coreProperties>
</file>