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Profile'!$A$1:$D$43</definedName>
    <definedName name="_xlnm.Print_Area" localSheetId="0">'DOE25'!$A$1:$L$676</definedName>
    <definedName name="_xlnm.Print_Area" localSheetId="1">'Food Service Attachment W'!$A$1:$H$40</definedName>
    <definedName name="_xlnm.Print_Area" localSheetId="3">'Indirect Cost Rate'!$A$1:$I$54</definedName>
    <definedName name="_xlnm.Print_Area" localSheetId="5">'MS-25'!$A$1:$G$164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I336" i="1" l="1"/>
  <c r="H336" i="1"/>
  <c r="I318" i="1"/>
  <c r="I299" i="1"/>
  <c r="H299" i="1"/>
  <c r="I280" i="1"/>
  <c r="H280" i="1"/>
  <c r="H278" i="1" l="1"/>
  <c r="I278" i="1"/>
  <c r="I316" i="1"/>
  <c r="I297" i="1" l="1"/>
  <c r="H289" i="1"/>
  <c r="H288" i="1"/>
  <c r="G359" i="1" l="1"/>
  <c r="J245" i="1" l="1"/>
  <c r="G245" i="1"/>
  <c r="K243" i="1"/>
  <c r="K225" i="1"/>
  <c r="K207" i="1"/>
  <c r="J234" i="1" l="1"/>
  <c r="J216" i="1"/>
  <c r="J203" i="1"/>
  <c r="J198" i="1"/>
  <c r="H560" i="1" l="1"/>
  <c r="I559" i="1"/>
  <c r="G559" i="1"/>
  <c r="F559" i="1"/>
  <c r="K558" i="1"/>
  <c r="J558" i="1"/>
  <c r="I558" i="1"/>
  <c r="H558" i="1"/>
  <c r="G558" i="1"/>
  <c r="F558" i="1"/>
  <c r="H244" i="1" l="1"/>
  <c r="H226" i="1"/>
  <c r="H208" i="1"/>
  <c r="H243" i="1"/>
  <c r="H225" i="1"/>
  <c r="H207" i="1"/>
  <c r="H241" i="1" l="1"/>
  <c r="H223" i="1"/>
  <c r="H205" i="1"/>
  <c r="H237" i="1"/>
  <c r="H219" i="1"/>
  <c r="H201" i="1"/>
  <c r="J592" i="1" l="1"/>
  <c r="I592" i="1"/>
  <c r="G227" i="1"/>
  <c r="H583" i="1"/>
  <c r="G583" i="1"/>
  <c r="F583" i="1"/>
  <c r="H582" i="1"/>
  <c r="H576" i="1"/>
  <c r="G580" i="1"/>
  <c r="F580" i="1"/>
  <c r="H592" i="1" l="1"/>
  <c r="I598" i="1"/>
  <c r="H598" i="1"/>
  <c r="J596" i="1" l="1"/>
  <c r="I596" i="1"/>
  <c r="H596" i="1"/>
  <c r="J595" i="1"/>
  <c r="I595" i="1"/>
  <c r="H595" i="1"/>
  <c r="J593" i="1"/>
  <c r="I593" i="1"/>
  <c r="H593" i="1"/>
  <c r="F543" i="1" l="1"/>
  <c r="F542" i="1"/>
  <c r="G544" i="1"/>
  <c r="G543" i="1"/>
  <c r="G542" i="1"/>
  <c r="F544" i="1"/>
  <c r="K534" i="1"/>
  <c r="K533" i="1"/>
  <c r="K532" i="1"/>
  <c r="J534" i="1"/>
  <c r="J533" i="1"/>
  <c r="J532" i="1"/>
  <c r="I534" i="1"/>
  <c r="I533" i="1"/>
  <c r="I532" i="1"/>
  <c r="H534" i="1"/>
  <c r="H533" i="1"/>
  <c r="H532" i="1"/>
  <c r="G534" i="1"/>
  <c r="G533" i="1"/>
  <c r="G532" i="1"/>
  <c r="F534" i="1"/>
  <c r="F533" i="1"/>
  <c r="F532" i="1"/>
  <c r="G529" i="1"/>
  <c r="H528" i="1"/>
  <c r="H529" i="1"/>
  <c r="H527" i="1"/>
  <c r="J527" i="1"/>
  <c r="J529" i="1"/>
  <c r="J528" i="1"/>
  <c r="I529" i="1"/>
  <c r="I528" i="1"/>
  <c r="I527" i="1"/>
  <c r="G528" i="1"/>
  <c r="G527" i="1"/>
  <c r="F529" i="1"/>
  <c r="F528" i="1"/>
  <c r="F527" i="1"/>
  <c r="F523" i="1"/>
  <c r="J522" i="1"/>
  <c r="J524" i="1"/>
  <c r="J523" i="1"/>
  <c r="I524" i="1"/>
  <c r="I523" i="1"/>
  <c r="I522" i="1"/>
  <c r="H524" i="1"/>
  <c r="H523" i="1"/>
  <c r="H522" i="1"/>
  <c r="G524" i="1"/>
  <c r="G523" i="1"/>
  <c r="G522" i="1"/>
  <c r="F524" i="1"/>
  <c r="F522" i="1"/>
  <c r="G217" i="1" l="1"/>
  <c r="G235" i="1" l="1"/>
  <c r="J316" i="1" l="1"/>
  <c r="J297" i="1"/>
  <c r="J278" i="1"/>
  <c r="I217" i="1"/>
  <c r="K278" i="1"/>
  <c r="G219" i="1"/>
  <c r="F217" i="1"/>
  <c r="F241" i="1"/>
  <c r="F234" i="1"/>
  <c r="F221" i="1"/>
  <c r="F223" i="1"/>
  <c r="F216" i="1"/>
  <c r="F198" i="1"/>
  <c r="F205" i="1" l="1"/>
  <c r="F239" i="1"/>
  <c r="F203" i="1"/>
  <c r="F242" i="1"/>
  <c r="F236" i="1"/>
  <c r="F235" i="1"/>
  <c r="H361" i="1"/>
  <c r="H360" i="1"/>
  <c r="H359" i="1"/>
  <c r="F359" i="1" l="1"/>
  <c r="I361" i="1"/>
  <c r="K361" i="1"/>
  <c r="J361" i="1"/>
  <c r="G361" i="1"/>
  <c r="F361" i="1"/>
  <c r="J360" i="1"/>
  <c r="K360" i="1"/>
  <c r="I360" i="1"/>
  <c r="G360" i="1"/>
  <c r="F360" i="1"/>
  <c r="K359" i="1"/>
  <c r="J359" i="1"/>
  <c r="I359" i="1"/>
  <c r="G198" i="1" l="1"/>
  <c r="H369" i="1" l="1"/>
  <c r="G369" i="1"/>
  <c r="F369" i="1"/>
  <c r="H368" i="1"/>
  <c r="G368" i="1"/>
  <c r="F368" i="1"/>
  <c r="H102" i="1" l="1"/>
  <c r="G246" i="1" l="1"/>
  <c r="G244" i="1"/>
  <c r="G243" i="1"/>
  <c r="G242" i="1"/>
  <c r="G241" i="1"/>
  <c r="G240" i="1"/>
  <c r="G239" i="1"/>
  <c r="G237" i="1"/>
  <c r="G236" i="1"/>
  <c r="G234" i="1"/>
  <c r="G228" i="1"/>
  <c r="G226" i="1"/>
  <c r="G225" i="1"/>
  <c r="G224" i="1"/>
  <c r="G223" i="1"/>
  <c r="G222" i="1"/>
  <c r="G221" i="1"/>
  <c r="G216" i="1"/>
  <c r="G210" i="1"/>
  <c r="G209" i="1"/>
  <c r="G208" i="1"/>
  <c r="G207" i="1"/>
  <c r="G206" i="1"/>
  <c r="G205" i="1"/>
  <c r="G204" i="1"/>
  <c r="G203" i="1"/>
  <c r="G201" i="1"/>
  <c r="G199" i="1"/>
  <c r="G158" i="1" l="1"/>
  <c r="G132" i="1"/>
  <c r="G97" i="1"/>
  <c r="F166" i="1"/>
  <c r="H161" i="1"/>
  <c r="H159" i="1"/>
  <c r="H156" i="1"/>
  <c r="H155" i="1"/>
  <c r="H154" i="1"/>
  <c r="H135" i="1"/>
  <c r="H130" i="1"/>
  <c r="H164" i="1" l="1"/>
  <c r="F120" i="1" l="1"/>
  <c r="F110" i="1" l="1"/>
  <c r="F99" i="1"/>
  <c r="F93" i="1"/>
  <c r="F70" i="1"/>
  <c r="F68" i="1"/>
  <c r="K316" i="1" l="1"/>
  <c r="K297" i="1"/>
  <c r="I322" i="1" l="1"/>
  <c r="H322" i="1"/>
  <c r="G322" i="1"/>
  <c r="F322" i="1"/>
  <c r="I321" i="1"/>
  <c r="H321" i="1"/>
  <c r="I320" i="1"/>
  <c r="H320" i="1"/>
  <c r="G320" i="1"/>
  <c r="F320" i="1"/>
  <c r="K317" i="1"/>
  <c r="J317" i="1"/>
  <c r="I317" i="1"/>
  <c r="H317" i="1"/>
  <c r="G317" i="1"/>
  <c r="F317" i="1"/>
  <c r="H316" i="1"/>
  <c r="G316" i="1"/>
  <c r="F316" i="1"/>
  <c r="J315" i="1"/>
  <c r="I315" i="1"/>
  <c r="H315" i="1"/>
  <c r="G315" i="1"/>
  <c r="F315" i="1"/>
  <c r="I307" i="1"/>
  <c r="H307" i="1"/>
  <c r="F307" i="1"/>
  <c r="I303" i="1"/>
  <c r="H303" i="1"/>
  <c r="G303" i="1"/>
  <c r="F303" i="1"/>
  <c r="H302" i="1"/>
  <c r="I301" i="1"/>
  <c r="H301" i="1"/>
  <c r="G301" i="1"/>
  <c r="F301" i="1"/>
  <c r="K299" i="1"/>
  <c r="G299" i="1"/>
  <c r="F299" i="1"/>
  <c r="H297" i="1"/>
  <c r="G297" i="1"/>
  <c r="F297" i="1"/>
  <c r="J296" i="1"/>
  <c r="I296" i="1"/>
  <c r="H296" i="1"/>
  <c r="G296" i="1"/>
  <c r="F296" i="1"/>
  <c r="I288" i="1"/>
  <c r="I284" i="1"/>
  <c r="H284" i="1"/>
  <c r="G284" i="1"/>
  <c r="H283" i="1"/>
  <c r="G283" i="1"/>
  <c r="F283" i="1"/>
  <c r="I282" i="1"/>
  <c r="H282" i="1"/>
  <c r="G282" i="1"/>
  <c r="F282" i="1"/>
  <c r="G280" i="1"/>
  <c r="F280" i="1"/>
  <c r="G278" i="1"/>
  <c r="F278" i="1"/>
  <c r="J277" i="1"/>
  <c r="I277" i="1"/>
  <c r="H277" i="1"/>
  <c r="G277" i="1"/>
  <c r="F277" i="1"/>
  <c r="I256" i="1"/>
  <c r="F246" i="1"/>
  <c r="K245" i="1"/>
  <c r="I245" i="1"/>
  <c r="H245" i="1"/>
  <c r="F245" i="1"/>
  <c r="K244" i="1"/>
  <c r="J244" i="1"/>
  <c r="I244" i="1"/>
  <c r="F244" i="1"/>
  <c r="F243" i="1"/>
  <c r="K242" i="1"/>
  <c r="J242" i="1"/>
  <c r="I242" i="1"/>
  <c r="H242" i="1"/>
  <c r="K241" i="1"/>
  <c r="J241" i="1"/>
  <c r="I241" i="1"/>
  <c r="J240" i="1"/>
  <c r="I240" i="1"/>
  <c r="H240" i="1"/>
  <c r="F240" i="1"/>
  <c r="K239" i="1"/>
  <c r="J239" i="1"/>
  <c r="I239" i="1"/>
  <c r="H239" i="1"/>
  <c r="K237" i="1"/>
  <c r="J237" i="1"/>
  <c r="I237" i="1"/>
  <c r="F237" i="1"/>
  <c r="J236" i="1"/>
  <c r="I236" i="1"/>
  <c r="H236" i="1"/>
  <c r="I235" i="1"/>
  <c r="H235" i="1"/>
  <c r="K234" i="1"/>
  <c r="I234" i="1"/>
  <c r="H234" i="1"/>
  <c r="F228" i="1"/>
  <c r="J227" i="1"/>
  <c r="I227" i="1"/>
  <c r="H227" i="1"/>
  <c r="F227" i="1"/>
  <c r="K226" i="1"/>
  <c r="I226" i="1"/>
  <c r="F226" i="1"/>
  <c r="F225" i="1"/>
  <c r="K224" i="1"/>
  <c r="J224" i="1"/>
  <c r="I224" i="1"/>
  <c r="H224" i="1"/>
  <c r="F224" i="1"/>
  <c r="K223" i="1"/>
  <c r="J223" i="1"/>
  <c r="I223" i="1"/>
  <c r="K222" i="1"/>
  <c r="I222" i="1"/>
  <c r="H222" i="1"/>
  <c r="F222" i="1"/>
  <c r="K221" i="1"/>
  <c r="J221" i="1"/>
  <c r="I221" i="1"/>
  <c r="H221" i="1"/>
  <c r="K219" i="1"/>
  <c r="J219" i="1"/>
  <c r="I219" i="1"/>
  <c r="F219" i="1"/>
  <c r="H217" i="1"/>
  <c r="K216" i="1"/>
  <c r="I216" i="1"/>
  <c r="H216" i="1"/>
  <c r="K209" i="1"/>
  <c r="J209" i="1"/>
  <c r="K208" i="1"/>
  <c r="J208" i="1"/>
  <c r="K206" i="1"/>
  <c r="J206" i="1"/>
  <c r="K205" i="1"/>
  <c r="J205" i="1"/>
  <c r="K203" i="1"/>
  <c r="K201" i="1"/>
  <c r="K198" i="1"/>
  <c r="I209" i="1"/>
  <c r="H209" i="1"/>
  <c r="I208" i="1"/>
  <c r="I206" i="1"/>
  <c r="H206" i="1"/>
  <c r="I205" i="1"/>
  <c r="I204" i="1"/>
  <c r="H204" i="1"/>
  <c r="I203" i="1"/>
  <c r="H203" i="1"/>
  <c r="I201" i="1"/>
  <c r="I199" i="1"/>
  <c r="H199" i="1"/>
  <c r="I198" i="1"/>
  <c r="H198" i="1"/>
  <c r="F210" i="1"/>
  <c r="F209" i="1"/>
  <c r="F208" i="1"/>
  <c r="F207" i="1"/>
  <c r="F206" i="1"/>
  <c r="F204" i="1"/>
  <c r="F201" i="1"/>
  <c r="F19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3" i="1"/>
  <c r="H653" i="1"/>
  <c r="G654" i="1"/>
  <c r="H654" i="1"/>
  <c r="G655" i="1"/>
  <c r="H655" i="1"/>
  <c r="H656" i="1"/>
  <c r="J656" i="1" s="1"/>
  <c r="G62" i="2"/>
  <c r="I170" i="1"/>
  <c r="J140" i="1"/>
  <c r="H140" i="1"/>
  <c r="E114" i="2" l="1"/>
  <c r="E112" i="2"/>
  <c r="H477" i="1"/>
  <c r="H625" i="1" s="1"/>
  <c r="J625" i="1" s="1"/>
  <c r="E13" i="13"/>
  <c r="C13" i="13" s="1"/>
  <c r="J258" i="1"/>
  <c r="J652" i="1"/>
  <c r="G553" i="1"/>
  <c r="A40" i="12"/>
  <c r="D6" i="13"/>
  <c r="C6" i="13" s="1"/>
  <c r="G662" i="1"/>
  <c r="C91" i="2"/>
  <c r="H112" i="1"/>
  <c r="E120" i="2"/>
  <c r="K339" i="1"/>
  <c r="K353" i="1" s="1"/>
  <c r="A31" i="12"/>
  <c r="G339" i="1"/>
  <c r="G353" i="1" s="1"/>
  <c r="C13" i="10"/>
  <c r="C110" i="2"/>
  <c r="C112" i="2"/>
  <c r="F258" i="1"/>
  <c r="D15" i="13"/>
  <c r="C15" i="13" s="1"/>
  <c r="C121" i="2"/>
  <c r="C120" i="2"/>
  <c r="C20" i="10"/>
  <c r="C11" i="10"/>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C81" i="2" l="1"/>
  <c r="G36" i="14"/>
  <c r="H36" i="14" s="1"/>
  <c r="I36" i="14" s="1"/>
  <c r="H661" i="1"/>
  <c r="H665" i="1" s="1"/>
  <c r="H668" i="1" s="1"/>
  <c r="F194" i="1"/>
  <c r="G628" i="1" s="1"/>
  <c r="J628" i="1" s="1"/>
  <c r="F661" i="1"/>
  <c r="F665" i="1" s="1"/>
  <c r="F668" i="1" s="1"/>
  <c r="G24" i="14"/>
  <c r="H24" i="14" s="1"/>
  <c r="I24" i="14" s="1"/>
  <c r="E128" i="2"/>
  <c r="E145" i="2" s="1"/>
  <c r="H649" i="1"/>
  <c r="J649"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<sst xmlns="http://schemas.openxmlformats.org/spreadsheetml/2006/main" count="5548" uniqueCount="1646">
  <si>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</si>
  <si>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</si>
  <si>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</si>
  <si>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</si>
  <si>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</si>
  <si>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</si>
  <si>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</si>
  <si>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</si>
  <si>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</si>
  <si>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</si>
  <si>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</si>
  <si>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</si>
  <si>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</si>
  <si>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</si>
  <si>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</si>
  <si>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</si>
  <si>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</si>
  <si>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</si>
  <si>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</si>
  <si>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</si>
  <si>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</si>
  <si>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</si>
  <si>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</si>
  <si>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</si>
  <si>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</si>
  <si>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</si>
  <si>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</si>
  <si>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</si>
  <si>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</si>
  <si>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</si>
  <si>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</si>
  <si>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</si>
  <si>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</si>
  <si>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</si>
  <si>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</si>
  <si>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</si>
  <si>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</si>
  <si>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</si>
  <si>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</si>
  <si>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</si>
  <si>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</si>
  <si>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</si>
  <si>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</si>
  <si>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</si>
  <si>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</si>
  <si>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</si>
  <si>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</si>
  <si>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</si>
  <si>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</si>
  <si>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</si>
  <si>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</si>
  <si>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</si>
  <si>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</si>
  <si>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</si>
  <si>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</si>
  <si>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</si>
  <si>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</si>
  <si>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</si>
  <si>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</si>
  <si>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</si>
  <si>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</si>
  <si>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</si>
  <si>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</si>
  <si>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</si>
  <si>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</si>
  <si>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</si>
  <si>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</si>
  <si>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</si>
  <si>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</si>
  <si>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</si>
  <si>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</si>
  <si>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</si>
  <si>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</si>
  <si>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</si>
  <si>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</si>
  <si>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</si>
  <si>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</si>
  <si>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</si>
  <si>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</si>
  <si>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</si>
  <si>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</si>
  <si>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</si>
  <si>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</si>
  <si>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</si>
  <si>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</si>
  <si>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</si>
  <si>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</si>
  <si>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</si>
  <si>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</si>
  <si>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</si>
  <si>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</si>
  <si>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</si>
  <si>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</si>
  <si>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</si>
  <si>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</si>
  <si>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</si>
  <si>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</si>
  <si>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</si>
  <si>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</si>
  <si>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</si>
  <si>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</si>
  <si>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</si>
  <si>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</si>
  <si>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</si>
  <si>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</si>
  <si>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</si>
  <si>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</si>
  <si>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</si>
  <si>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</si>
  <si>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</si>
  <si>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</si>
  <si>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</si>
  <si>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</si>
  <si>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</si>
  <si>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</si>
  <si>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</si>
  <si>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</si>
  <si>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</si>
  <si>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</si>
  <si>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</si>
  <si>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</si>
  <si>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</si>
  <si>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</si>
  <si>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</si>
  <si>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</si>
  <si>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</si>
  <si>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</si>
  <si>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</si>
  <si>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</si>
  <si>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</si>
  <si>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</si>
  <si>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</si>
  <si>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</si>
  <si>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</si>
  <si>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</si>
  <si>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</si>
  <si>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</si>
  <si>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</si>
  <si>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</si>
  <si>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</si>
  <si>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</si>
  <si>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</si>
  <si>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</si>
  <si>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</si>
  <si>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</si>
  <si>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</si>
  <si>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</si>
  <si>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</si>
  <si>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</si>
  <si>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</si>
  <si>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</si>
  <si>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</si>
  <si>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</si>
  <si>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</si>
  <si>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</si>
  <si>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</si>
  <si>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</si>
  <si>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</si>
  <si>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</si>
  <si>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</si>
  <si>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</si>
  <si>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</si>
  <si>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</si>
  <si>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</si>
  <si>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</si>
  <si>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</si>
  <si>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</si>
  <si>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</si>
  <si>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</si>
  <si>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</si>
  <si>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</si>
  <si>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</si>
  <si>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</si>
  <si>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</si>
  <si>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</si>
  <si>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</si>
  <si>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</si>
  <si>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</si>
  <si>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</si>
  <si>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</si>
  <si>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</si>
  <si>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</si>
  <si>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</si>
  <si>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</si>
  <si>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</si>
  <si>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</si>
  <si>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</si>
  <si>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</si>
  <si>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</si>
  <si>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</si>
  <si>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</si>
  <si>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</si>
  <si>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</si>
  <si>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</si>
  <si>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</si>
  <si>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</si>
  <si>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</si>
  <si>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</si>
  <si>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</si>
  <si>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</si>
  <si>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</si>
  <si>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</si>
  <si>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</si>
  <si>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</si>
  <si>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</si>
  <si>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</si>
  <si>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</si>
  <si>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</si>
  <si>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</si>
  <si>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</si>
  <si>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</si>
  <si>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</si>
  <si>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</si>
  <si>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</si>
  <si>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</si>
  <si>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</si>
  <si>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</si>
  <si>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</si>
  <si>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</si>
  <si>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</si>
  <si>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</si>
  <si>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</si>
  <si>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</si>
  <si>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</si>
  <si>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</si>
  <si>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</si>
  <si>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</si>
  <si>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</si>
  <si>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</si>
  <si>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</si>
  <si>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</si>
  <si>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</si>
  <si>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</si>
  <si>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</si>
  <si>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</si>
  <si>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</si>
  <si>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</si>
  <si>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</si>
  <si>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</si>
  <si>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</si>
  <si>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</si>
  <si>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</si>
  <si>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</si>
  <si>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</si>
  <si>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</si>
  <si>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</si>
  <si>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</si>
  <si>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</si>
  <si>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</si>
  <si>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</si>
  <si>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</si>
  <si>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</si>
  <si>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</si>
  <si>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</si>
  <si>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</si>
  <si>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</si>
  <si>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</si>
  <si>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</si>
  <si>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</si>
  <si>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</si>
  <si>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</si>
  <si>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</si>
  <si>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</si>
  <si>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</si>
  <si>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</si>
  <si>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</si>
  <si>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</si>
  <si>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</si>
  <si>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</si>
  <si>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</si>
  <si>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</si>
  <si>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</si>
  <si>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</si>
  <si>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</si>
  <si>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</si>
  <si>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</si>
  <si>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</si>
  <si>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</si>
  <si>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</si>
  <si>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</si>
  <si>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</si>
  <si>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</si>
  <si>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</si>
  <si>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</si>
  <si>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</si>
  <si>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</si>
  <si>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</si>
  <si>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</si>
  <si>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</si>
  <si>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</si>
  <si>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</si>
  <si>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</si>
  <si>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</si>
  <si>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</si>
  <si>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</si>
  <si>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</si>
  <si>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</si>
  <si>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</si>
  <si>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</si>
  <si>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</si>
  <si>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</si>
  <si>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</si>
  <si>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</si>
  <si>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</si>
  <si>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</si>
  <si>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</si>
  <si>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</si>
  <si>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</si>
  <si>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</si>
  <si>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</si>
  <si>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</si>
  <si>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</si>
  <si>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</si>
  <si>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</si>
  <si>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</si>
  <si>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</si>
  <si>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</si>
  <si>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</si>
  <si>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</si>
  <si>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</si>
  <si>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</si>
  <si>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</si>
  <si>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</si>
  <si>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</si>
  <si>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</si>
  <si>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</si>
  <si>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</si>
  <si>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</si>
  <si>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</si>
  <si>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</si>
  <si>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</si>
  <si>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</si>
  <si>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</si>
  <si>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</si>
  <si>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</si>
  <si>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</si>
  <si>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</si>
  <si>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</si>
  <si>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</si>
  <si>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</si>
  <si>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</si>
  <si>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</si>
  <si>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</si>
  <si>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</si>
  <si>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</si>
  <si>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</si>
  <si>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</si>
  <si>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</si>
  <si>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</si>
  <si>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</si>
  <si>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</si>
  <si>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</si>
  <si>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</si>
  <si>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</si>
  <si>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</si>
  <si>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</si>
  <si>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</si>
  <si>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</si>
  <si>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</si>
  <si>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</si>
  <si>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</si>
  <si>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</si>
  <si>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</si>
  <si>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</si>
  <si>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</si>
  <si>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</si>
  <si>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</si>
  <si>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</si>
  <si>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</si>
  <si>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</si>
  <si>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</si>
  <si>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</si>
  <si>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</si>
  <si>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</si>
  <si>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</si>
  <si>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</si>
  <si>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</si>
  <si>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</si>
  <si>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</si>
  <si>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</si>
  <si>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</si>
  <si>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</si>
  <si>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</si>
  <si>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</si>
  <si>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</si>
  <si>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</si>
  <si>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</si>
  <si>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</si>
  <si>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</si>
  <si>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</si>
  <si>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</si>
  <si>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</si>
  <si>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</si>
  <si>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</si>
  <si>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</si>
  <si>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</si>
  <si>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</si>
  <si>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</si>
  <si>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</si>
  <si>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</si>
  <si>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</si>
  <si>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</si>
  <si>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</si>
  <si>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</si>
  <si>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</si>
  <si>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</si>
  <si>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</si>
  <si>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</si>
  <si>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</si>
  <si>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</si>
  <si>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</si>
  <si>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</si>
  <si>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</si>
  <si>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</si>
  <si>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</si>
  <si>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</si>
  <si>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</si>
  <si>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</si>
  <si>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</si>
  <si>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</si>
  <si>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</si>
  <si>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</si>
  <si>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</si>
  <si>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</si>
  <si>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</si>
  <si>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</si>
  <si>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</si>
  <si>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</si>
  <si>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</si>
  <si>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</si>
  <si>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</si>
  <si>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</si>
  <si>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</si>
  <si>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</si>
  <si>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</si>
  <si>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</si>
  <si>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</si>
  <si>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</si>
  <si>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</si>
  <si>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</si>
  <si>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</si>
  <si>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</si>
  <si>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</si>
  <si>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</si>
  <si>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</si>
  <si>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</si>
  <si>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</si>
  <si>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</si>
  <si>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</si>
  <si>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</si>
  <si>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</si>
  <si>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</si>
  <si>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</si>
  <si>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</si>
  <si>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</si>
  <si>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</si>
  <si>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</si>
  <si>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</si>
  <si>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</si>
  <si>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</si>
  <si>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</si>
  <si>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</si>
  <si>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</si>
  <si>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</si>
  <si>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</si>
  <si>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</si>
  <si>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</si>
  <si>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</si>
  <si>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</si>
  <si>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</si>
  <si>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</si>
  <si>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</si>
  <si>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</si>
  <si>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</si>
  <si>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</si>
  <si>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</si>
  <si>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</si>
  <si>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</si>
  <si>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</si>
  <si>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</si>
  <si>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</si>
  <si>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</si>
  <si>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</si>
  <si>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</si>
  <si>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</si>
  <si>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</si>
  <si>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</si>
  <si>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</si>
  <si>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</si>
  <si>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</si>
  <si>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</si>
  <si>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</si>
  <si>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</si>
  <si>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</si>
  <si>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</si>
  <si>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</si>
  <si>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</si>
  <si>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</si>
  <si>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</si>
  <si>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</si>
  <si>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</si>
  <si>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</si>
  <si>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</si>
  <si>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</si>
  <si>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</si>
  <si>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</si>
  <si>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</si>
  <si>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</si>
  <si>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</si>
  <si>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</si>
  <si>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</si>
  <si>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</si>
  <si>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</si>
  <si>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</si>
  <si>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</si>
  <si>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</si>
  <si>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</si>
  <si>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</si>
  <si>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</si>
  <si>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</si>
  <si>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</si>
  <si>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</si>
  <si>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</si>
  <si>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</si>
  <si>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</si>
  <si>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</si>
  <si>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</si>
  <si>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</si>
  <si>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</si>
  <si>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</si>
  <si>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</si>
  <si>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</si>
  <si>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</si>
  <si>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</si>
  <si>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</si>
  <si>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</si>
  <si>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</si>
  <si>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</si>
  <si>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</si>
  <si>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</si>
  <si>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</si>
  <si>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</si>
  <si>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</si>
  <si>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</si>
  <si>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</si>
  <si>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</si>
  <si>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</si>
  <si>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</si>
  <si>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</si>
  <si>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</si>
  <si>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</si>
  <si>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</si>
  <si>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</si>
  <si>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</si>
  <si>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</si>
  <si>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</si>
  <si>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</si>
  <si>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</si>
  <si>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</si>
  <si>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</si>
  <si>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</si>
  <si>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</si>
  <si>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</si>
  <si>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</si>
  <si>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</si>
  <si>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</si>
  <si>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</si>
  <si>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</si>
  <si>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</si>
  <si>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</si>
  <si>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</si>
  <si>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</si>
  <si>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</si>
  <si>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</si>
  <si>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</si>
  <si>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</si>
  <si>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</si>
  <si>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</si>
  <si>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</si>
  <si>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</si>
  <si>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</si>
  <si>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</si>
  <si>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</si>
  <si>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</si>
  <si>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</si>
  <si>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</si>
  <si>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</si>
  <si>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</si>
  <si>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</si>
  <si>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</si>
  <si>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</si>
  <si>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</si>
  <si>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</si>
  <si>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</si>
  <si>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</si>
  <si>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</si>
  <si>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</si>
  <si>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</si>
  <si>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</si>
  <si>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</si>
  <si>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</si>
  <si>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</si>
  <si>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</si>
  <si>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</si>
  <si>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</si>
  <si>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</si>
  <si>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</si>
  <si>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</si>
  <si>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</si>
  <si>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</si>
  <si>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</si>
  <si>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</si>
  <si>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</si>
  <si>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</si>
  <si>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</si>
  <si>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</si>
  <si>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</si>
  <si>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</si>
  <si>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</si>
  <si>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</si>
  <si>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</si>
  <si>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</si>
  <si>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</si>
  <si>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</si>
  <si>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</si>
  <si>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</si>
  <si>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</si>
  <si>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</si>
  <si>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</si>
  <si>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</si>
  <si>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</si>
  <si>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</si>
  <si>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</si>
  <si>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</si>
  <si>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</si>
  <si>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</si>
  <si>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</si>
  <si>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</si>
  <si>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</si>
  <si>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</si>
  <si>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</si>
  <si>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</si>
  <si>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</si>
  <si>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</si>
  <si>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</si>
  <si>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</si>
  <si>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</si>
  <si>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</si>
  <si>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</si>
  <si>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</si>
  <si>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</si>
  <si>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</si>
  <si>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</si>
  <si>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</si>
  <si>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</si>
  <si>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</si>
  <si>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</si>
  <si>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</si>
  <si>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</si>
  <si>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</si>
  <si>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</si>
  <si>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</si>
  <si>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</si>
  <si>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</si>
  <si>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</si>
  <si>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</si>
  <si>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</si>
  <si>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</si>
  <si>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</si>
  <si>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</si>
  <si>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</si>
  <si>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</si>
  <si>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</si>
  <si>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</si>
  <si>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</si>
  <si>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</si>
  <si>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</si>
  <si>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</si>
  <si>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</si>
  <si>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</si>
  <si>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</si>
  <si>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</si>
  <si>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</si>
  <si>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</si>
  <si>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</si>
  <si>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</si>
  <si>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</si>
  <si>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</si>
  <si>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</si>
  <si>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</si>
  <si>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</si>
  <si>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</si>
  <si>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</si>
  <si>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</si>
  <si>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</si>
  <si>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</si>
  <si>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</si>
  <si>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</si>
  <si>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</si>
  <si>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</si>
  <si>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</si>
  <si>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</si>
  <si>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</si>
  <si>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</si>
  <si>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</si>
  <si>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</si>
  <si>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</si>
  <si>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</si>
  <si>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</si>
  <si>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</si>
  <si>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</si>
  <si>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</si>
  <si>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</si>
  <si>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</si>
  <si>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</si>
  <si>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</si>
  <si>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</si>
  <si>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</si>
  <si>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</si>
  <si>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</si>
  <si>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</si>
  <si>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</si>
  <si>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</si>
  <si>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</si>
  <si>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</si>
  <si>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</si>
  <si>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</si>
  <si>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</si>
  <si>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</si>
  <si>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</si>
  <si>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</si>
  <si>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</si>
  <si>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</si>
  <si>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</si>
  <si>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</si>
  <si>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</si>
  <si>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</si>
  <si>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</si>
  <si>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</si>
  <si>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</si>
  <si>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</si>
  <si>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</si>
  <si>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</si>
  <si>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</si>
  <si>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</si>
  <si>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</si>
  <si>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</si>
  <si>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</si>
  <si>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</si>
  <si>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</si>
  <si>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</si>
  <si>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</si>
  <si>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</si>
  <si>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</si>
  <si>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</si>
  <si>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</si>
  <si>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</si>
  <si>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</si>
  <si>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</si>
  <si>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</si>
  <si>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</si>
  <si>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</si>
  <si>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</si>
  <si>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</si>
  <si>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</si>
  <si>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</si>
  <si>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</si>
  <si>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</si>
  <si>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</si>
  <si>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</si>
  <si>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</si>
  <si>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</si>
  <si>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</si>
  <si>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</si>
  <si>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</si>
  <si>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</si>
  <si>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</si>
  <si>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</si>
  <si>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</si>
  <si>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</si>
  <si>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</si>
  <si>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</si>
  <si>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</si>
  <si>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</si>
  <si>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</si>
  <si>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</si>
  <si>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</si>
  <si>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</si>
  <si>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</si>
  <si>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</si>
  <si>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</si>
  <si>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</si>
  <si>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</si>
  <si>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</si>
  <si>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</si>
  <si>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</si>
  <si>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</si>
  <si>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</si>
  <si>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</si>
  <si>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</si>
  <si>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</si>
  <si>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</si>
  <si>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</si>
  <si>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</si>
  <si>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</si>
  <si>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</si>
  <si>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</si>
  <si>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</si>
  <si>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</si>
  <si>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</si>
  <si>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</si>
  <si>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</si>
  <si>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</si>
  <si>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</si>
  <si>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</si>
  <si>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</si>
  <si>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</si>
  <si>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</si>
  <si>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</si>
  <si>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</si>
  <si>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</si>
  <si>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</si>
  <si>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</si>
  <si>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</si>
  <si>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</si>
  <si>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</si>
  <si>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</si>
  <si>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</si>
  <si>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</si>
  <si>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</si>
  <si>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</si>
  <si>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</si>
  <si>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</si>
  <si>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</si>
  <si>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</si>
  <si>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</si>
  <si>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</si>
  <si>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</si>
  <si>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</si>
  <si>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</si>
  <si>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</si>
  <si>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</si>
  <si>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</si>
  <si>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</si>
  <si>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</si>
  <si>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</si>
  <si>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</si>
  <si>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</si>
  <si>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</si>
  <si>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</si>
  <si>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</si>
  <si>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</si>
  <si>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</si>
  <si>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</si>
  <si>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</si>
  <si>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</si>
  <si>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</si>
  <si>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</si>
  <si>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</si>
  <si>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</si>
  <si>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</si>
  <si>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</si>
  <si>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</si>
  <si>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</si>
  <si>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</si>
  <si>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</si>
  <si>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</si>
  <si>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</si>
  <si>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</si>
  <si>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</si>
  <si>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</si>
  <si>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</si>
  <si>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</si>
  <si>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</si>
  <si>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</si>
  <si>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</si>
  <si>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</si>
  <si>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</si>
  <si>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</si>
  <si>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</si>
  <si>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</si>
  <si>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</si>
  <si>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</si>
  <si>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</si>
  <si>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</si>
  <si>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</si>
  <si>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</si>
  <si>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</si>
  <si>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</si>
  <si>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</si>
  <si>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</si>
  <si>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</si>
  <si>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</si>
  <si>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</si>
  <si>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</si>
  <si>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</si>
  <si>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</si>
  <si>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</si>
  <si>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</si>
  <si>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</si>
  <si>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</si>
  <si>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</si>
  <si>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</si>
  <si>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</si>
  <si>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</si>
  <si>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</si>
  <si>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</si>
  <si>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</si>
  <si>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</si>
  <si>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</si>
  <si>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</si>
  <si>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</si>
  <si>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</si>
  <si>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</si>
  <si>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</si>
  <si>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</si>
  <si>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</si>
  <si>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</si>
  <si>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</si>
  <si>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</si>
  <si>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</si>
  <si>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</si>
  <si>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</si>
  <si>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</si>
  <si>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</si>
  <si>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</si>
  <si>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</si>
  <si>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</si>
  <si>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</si>
  <si>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</si>
  <si>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</si>
  <si>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</si>
  <si>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</si>
  <si>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</si>
  <si>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</si>
  <si>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</si>
  <si>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</si>
  <si>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</si>
  <si>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</si>
  <si>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</si>
  <si>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</si>
  <si>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</si>
  <si>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</si>
  <si>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</si>
  <si>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</si>
  <si>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</si>
  <si>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</si>
  <si>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</si>
  <si>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</si>
  <si>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</si>
  <si>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</si>
  <si>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</si>
  <si>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</si>
  <si>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</si>
  <si>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</si>
  <si>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</si>
  <si>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</si>
  <si>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</si>
  <si>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</si>
  <si>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</si>
  <si>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</si>
  <si>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</si>
  <si>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</si>
  <si>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</si>
  <si>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</si>
  <si>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</si>
  <si>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</si>
  <si>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</si>
  <si>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</si>
  <si>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</si>
  <si>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</si>
  <si>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</si>
  <si>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</si>
  <si>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</si>
  <si>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</si>
  <si>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</si>
  <si>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</si>
  <si>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</si>
  <si>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</si>
  <si>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</si>
  <si>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</si>
  <si>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</si>
  <si>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</si>
  <si>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</si>
  <si>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</si>
  <si>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</si>
  <si>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</si>
  <si>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</si>
  <si>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</si>
  <si>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</si>
  <si>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</si>
  <si>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</si>
  <si>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</si>
  <si>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</si>
  <si>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</si>
  <si>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</si>
  <si>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</si>
  <si>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</si>
  <si>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</si>
  <si>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</si>
  <si>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</si>
  <si>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</si>
  <si>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</si>
  <si>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</si>
  <si>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</si>
  <si>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</si>
  <si>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</si>
  <si>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</si>
  <si>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</si>
  <si>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</si>
  <si>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</si>
  <si>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</si>
  <si>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</si>
  <si>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</si>
  <si>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</si>
  <si>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</si>
  <si>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</si>
  <si>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</si>
  <si>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</si>
  <si>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</si>
  <si>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</si>
  <si>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</si>
  <si>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</si>
  <si>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</si>
  <si>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</si>
  <si>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</si>
  <si>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</si>
  <si>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</si>
  <si>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</si>
  <si>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</si>
  <si>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</si>
  <si>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</si>
  <si>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</si>
  <si>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</si>
  <si>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</si>
  <si>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</si>
  <si>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</si>
  <si>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</si>
  <si>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</si>
  <si>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</si>
  <si>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</si>
  <si>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</si>
  <si>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</si>
  <si>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</si>
  <si>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</si>
  <si>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</si>
  <si>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</si>
  <si>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</si>
  <si>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</si>
  <si>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</si>
  <si>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</si>
  <si>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</si>
  <si>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</si>
  <si>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</si>
  <si>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</si>
  <si>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</si>
  <si>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</si>
  <si>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</si>
  <si>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</si>
  <si>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</si>
  <si>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</si>
  <si>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</si>
  <si>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</si>
  <si>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</si>
  <si>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</si>
  <si>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</si>
  <si>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</si>
  <si>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</si>
  <si>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</si>
  <si>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</si>
  <si>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</si>
  <si>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</si>
  <si>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</si>
  <si>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</si>
  <si>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</si>
  <si>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</si>
  <si>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</si>
  <si>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</si>
  <si>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</si>
  <si>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</si>
  <si>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</si>
  <si>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</si>
  <si>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</si>
  <si>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</si>
  <si>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</si>
  <si>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</si>
  <si>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</si>
  <si>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</si>
  <si>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</si>
  <si>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</si>
  <si>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</si>
  <si>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</si>
  <si>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</si>
  <si>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</si>
  <si>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</si>
  <si>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</si>
  <si>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</si>
  <si>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</si>
  <si>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</si>
  <si>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</si>
  <si>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</si>
  <si>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</si>
  <si>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</si>
  <si>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</si>
  <si>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</si>
  <si>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</si>
  <si>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</si>
  <si>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</si>
  <si>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</si>
  <si>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</si>
  <si>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</si>
  <si>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</si>
  <si>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</si>
  <si>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</si>
  <si>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</si>
  <si>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</si>
  <si>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</si>
  <si>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</si>
  <si>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</si>
  <si>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</si>
  <si>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</si>
  <si>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</si>
  <si>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</si>
  <si>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</si>
  <si>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</si>
  <si>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</si>
  <si>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</si>
  <si>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</si>
  <si>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</si>
  <si>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</si>
  <si>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</si>
  <si>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</si>
  <si>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</si>
  <si>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</si>
  <si>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</si>
  <si>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</si>
  <si>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</si>
  <si>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</si>
  <si>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</si>
  <si>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</si>
  <si>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</si>
  <si>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</si>
  <si>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</si>
  <si>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</si>
  <si>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</si>
  <si>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</si>
  <si>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</si>
  <si>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</si>
  <si>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</si>
  <si>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</si>
  <si>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</si>
  <si>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</si>
  <si>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</si>
  <si>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</si>
  <si>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</si>
  <si>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</si>
  <si>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</si>
  <si>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</si>
  <si>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</si>
  <si>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</si>
  <si>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</si>
  <si>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</si>
  <si>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</si>
  <si>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</si>
  <si>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</si>
  <si>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</si>
  <si>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</si>
  <si>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</si>
  <si>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</si>
  <si>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</si>
  <si>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</si>
  <si>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</si>
  <si>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</si>
  <si>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</si>
  <si>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</si>
  <si>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</si>
  <si>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</si>
  <si>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</si>
  <si>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</si>
  <si>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</si>
  <si>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</si>
  <si>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</si>
  <si>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</si>
  <si>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</si>
  <si>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</si>
  <si>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</si>
  <si>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</si>
  <si>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</si>
  <si>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</si>
  <si>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</si>
  <si>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</si>
  <si>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</si>
  <si>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</si>
  <si>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</si>
  <si>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</si>
  <si>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</si>
  <si>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</si>
  <si>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</si>
  <si>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</si>
  <si>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</si>
  <si>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</si>
  <si>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</si>
  <si>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</si>
  <si>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</si>
  <si>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</si>
  <si>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</si>
  <si>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</si>
  <si>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</si>
  <si>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</si>
  <si>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</si>
  <si>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</si>
  <si>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</si>
  <si>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</si>
  <si>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</si>
  <si>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</si>
  <si>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</si>
  <si>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</si>
  <si>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</si>
  <si>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</si>
  <si>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</si>
  <si>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</si>
  <si>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</si>
  <si>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</si>
  <si>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</si>
  <si>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</si>
  <si>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</si>
  <si>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</si>
  <si>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</si>
  <si>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</si>
  <si>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</si>
  <si>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</si>
  <si>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</si>
  <si>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</si>
  <si>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</si>
  <si>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</si>
  <si>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</si>
  <si>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</si>
  <si>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</si>
  <si>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</si>
  <si>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</si>
  <si>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</si>
  <si>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</si>
  <si>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</si>
  <si>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</si>
  <si>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</si>
  <si>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</si>
  <si>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</si>
  <si>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</si>
  <si>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</si>
  <si>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</si>
  <si>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</si>
  <si>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</si>
  <si>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</si>
  <si>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</si>
  <si>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</si>
  <si>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</si>
  <si>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</si>
  <si>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</si>
  <si>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</si>
  <si>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</si>
  <si>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</si>
  <si>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</si>
  <si>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</si>
  <si>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</si>
  <si>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</si>
  <si>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</si>
  <si>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</si>
  <si>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</si>
  <si>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</si>
  <si>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</si>
  <si>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</si>
  <si>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</si>
  <si>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</si>
  <si>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</si>
  <si>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</si>
  <si>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</si>
  <si>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</si>
  <si>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</si>
  <si>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</si>
  <si>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</si>
  <si>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</si>
  <si>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</si>
  <si>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</si>
  <si>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</si>
  <si>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</si>
  <si>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</si>
  <si>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</si>
  <si>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</si>
  <si>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</si>
  <si>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</si>
  <si>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</si>
  <si>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</si>
  <si>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</si>
  <si>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</si>
  <si>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</si>
  <si>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</si>
  <si>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</si>
  <si>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</si>
  <si>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</si>
  <si>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</si>
  <si>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</si>
  <si>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</si>
  <si>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</si>
  <si>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</si>
  <si>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</si>
  <si>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</si>
  <si>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</si>
  <si>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</si>
  <si>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</si>
  <si>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</si>
  <si>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</si>
  <si>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</si>
  <si>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</si>
  <si>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</si>
  <si>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</si>
  <si>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</si>
  <si>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</si>
  <si>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</si>
  <si>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</si>
  <si>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</si>
  <si>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</si>
  <si>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</si>
  <si>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</si>
  <si>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</si>
  <si>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</si>
  <si>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</si>
  <si>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</si>
  <si>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</si>
  <si>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</si>
  <si>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</si>
  <si>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</si>
  <si>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</si>
  <si>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</si>
  <si>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</si>
  <si>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</si>
  <si>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</si>
  <si>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</si>
  <si>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</si>
  <si>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</si>
  <si>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</si>
  <si>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</si>
  <si>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</si>
  <si>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</si>
  <si>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</si>
  <si>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</si>
  <si>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</si>
  <si>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</si>
  <si>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</si>
  <si>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</si>
  <si>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</si>
  <si>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</si>
  <si>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</si>
  <si>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</si>
  <si>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</si>
  <si>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</si>
  <si>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</si>
  <si>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</si>
  <si>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</si>
  <si>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</si>
  <si>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</si>
  <si>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</si>
  <si>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</si>
  <si>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</si>
  <si>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</si>
  <si>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</si>
  <si>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</si>
  <si>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</si>
  <si>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</si>
  <si>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</si>
  <si>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</si>
  <si>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</si>
  <si>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</si>
  <si>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</si>
  <si>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</si>
  <si>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</si>
  <si>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</si>
  <si>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</si>
  <si>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</si>
  <si>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</si>
  <si>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</si>
  <si>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</si>
  <si>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</si>
  <si>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</si>
  <si>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</si>
  <si>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</si>
  <si>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</si>
  <si>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</si>
  <si>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</si>
  <si>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</si>
  <si>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</si>
  <si>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</si>
  <si>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</si>
  <si>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</si>
  <si>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</si>
  <si>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</si>
  <si>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</si>
  <si>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</si>
  <si>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</si>
  <si>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</si>
  <si>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</si>
  <si>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</si>
  <si>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</si>
  <si>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</si>
  <si>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</si>
  <si>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</si>
  <si>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</si>
  <si>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</si>
  <si>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</si>
  <si>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</si>
  <si>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</si>
  <si>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</si>
  <si>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</si>
  <si>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</si>
  <si>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</si>
  <si>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</si>
  <si>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</si>
  <si>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</si>
  <si>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</si>
  <si>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</si>
  <si>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</si>
  <si>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</si>
  <si>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</si>
  <si>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</si>
  <si>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</si>
  <si>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</si>
  <si>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</si>
  <si>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</si>
  <si>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</si>
  <si>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</si>
  <si>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</si>
  <si>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</si>
  <si>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</si>
  <si>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</si>
  <si>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</si>
  <si>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</si>
  <si>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</si>
  <si>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</si>
  <si>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</si>
  <si>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</si>
  <si>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</si>
  <si>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</si>
  <si>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</si>
  <si>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</si>
  <si>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</si>
  <si>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</si>
  <si>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</si>
  <si>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</si>
  <si>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</si>
  <si>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</si>
  <si>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</si>
  <si>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</si>
  <si>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</si>
  <si>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</si>
  <si>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</si>
  <si>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</si>
  <si>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</si>
  <si>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</si>
  <si>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</si>
  <si>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</si>
  <si>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</si>
  <si>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</si>
  <si>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</si>
  <si>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</si>
  <si>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</si>
  <si>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</si>
  <si>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</si>
  <si>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</si>
  <si>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</si>
  <si>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</si>
  <si>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</si>
  <si>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</si>
  <si>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</si>
  <si>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</si>
  <si>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</si>
  <si>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</si>
  <si>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</si>
  <si>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</si>
  <si>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</si>
  <si>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</si>
  <si>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</si>
  <si>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</si>
  <si>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</si>
  <si>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</si>
  <si>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</si>
  <si>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</si>
  <si>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</si>
  <si>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</si>
  <si>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</si>
  <si>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</si>
  <si>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</si>
  <si>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</si>
  <si>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</si>
  <si>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</si>
  <si>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</si>
  <si>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</si>
  <si>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</si>
  <si>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</si>
  <si>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</si>
  <si>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</si>
  <si>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</si>
  <si>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</si>
  <si>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</si>
  <si>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</si>
  <si>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</si>
  <si>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</si>
  <si>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</si>
  <si>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</si>
  <si>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</si>
  <si>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</si>
  <si>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</si>
  <si>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</si>
  <si>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</si>
  <si>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</si>
  <si>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</si>
  <si>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</si>
  <si>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</si>
  <si>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</si>
  <si>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</si>
  <si>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</si>
  <si>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</si>
  <si>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</si>
  <si>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</si>
  <si>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</si>
  <si>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</si>
  <si>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</si>
  <si>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</si>
  <si>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</si>
  <si>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</si>
  <si>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</si>
  <si>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</si>
  <si>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</si>
  <si>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</si>
  <si>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</si>
  <si>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</si>
  <si>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</si>
  <si>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</si>
  <si>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</si>
  <si>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</si>
  <si>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</si>
  <si>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</si>
  <si>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</si>
  <si>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</si>
  <si>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</si>
  <si>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</si>
  <si>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</si>
  <si>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</si>
  <si>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</si>
  <si>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</si>
  <si>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</si>
  <si>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</si>
  <si>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</si>
  <si>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</si>
  <si>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</si>
  <si>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</si>
  <si>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</si>
  <si>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</si>
  <si>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</si>
  <si>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</si>
  <si>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</si>
  <si>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</si>
  <si>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</si>
  <si>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</si>
  <si>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</si>
  <si>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</si>
  <si>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</si>
  <si>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</si>
  <si>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</si>
  <si>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</si>
  <si>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</si>
  <si>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</si>
  <si>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</si>
  <si>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</si>
  <si>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</si>
  <si>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</si>
  <si>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</si>
  <si>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</si>
  <si>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</si>
  <si>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</si>
  <si>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</si>
  <si>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</si>
  <si>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</si>
  <si>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</si>
  <si>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</si>
  <si>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</si>
  <si>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</si>
  <si>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</si>
  <si>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</si>
  <si>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</si>
  <si>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</si>
  <si>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</si>
  <si>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</si>
  <si>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</si>
  <si>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</si>
  <si>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</si>
  <si>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</si>
  <si>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</si>
  <si>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</si>
  <si>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</si>
  <si>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</si>
  <si>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</si>
  <si>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</si>
  <si>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</si>
  <si>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</si>
  <si>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</si>
  <si>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</si>
  <si>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</si>
  <si>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</si>
  <si>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</si>
  <si>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</si>
  <si>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</si>
  <si>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</si>
  <si>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</si>
  <si>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</si>
  <si>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</si>
  <si>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</si>
  <si>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</si>
  <si>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</si>
  <si>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</si>
  <si>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</si>
  <si>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</si>
  <si>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</si>
  <si>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</si>
  <si>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</si>
  <si>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</si>
  <si>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</si>
  <si>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</si>
  <si>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</si>
  <si>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</si>
  <si>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</si>
  <si>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</si>
  <si>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</si>
  <si>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</si>
  <si>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</si>
  <si>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</si>
  <si>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</si>
  <si>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</si>
  <si>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</si>
  <si>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</si>
  <si>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</si>
  <si>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</si>
  <si>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</si>
  <si>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</si>
  <si>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01/10</t>
  </si>
  <si>
    <t>8/25</t>
  </si>
  <si>
    <t>Unidentified grant variance</t>
  </si>
  <si>
    <t>Unidentifed grant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</si>
</sst>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944</v>
      </c>
      <c r="B2" s="21">
        <v>51</v>
      </c>
      <c r="C2" s="21">
        <v>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29593.32</v>
      </c>
      <c r="H9" s="18">
        <v>65652.679999999993</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29593.32</v>
      </c>
      <c r="H19" s="41">
        <f>SUM(H9:H18)</f>
        <v>65652.679999999993</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29593.32</v>
      </c>
      <c r="H48" s="18">
        <v>65652.679999999993</v>
      </c>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29593.32</v>
      </c>
      <c r="H51" s="41">
        <f>SUM(H35:H50)</f>
        <v>65652.679999999993</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29593.32</v>
      </c>
      <c r="H52" s="41">
        <f>H51+H32</f>
        <v>65652.679999999993</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5235815.13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5235815.13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1411973.18</f>
        <v>1411973.18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39238.17</f>
        <v>39238.17</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1451211.3499999999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f>2618.74</f>
        <v>2618.7399999999998</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2618.7399999999998</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122624.66</f>
        <v>122624.66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f>129.2</f>
        <v>129.19999999999999</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98376.62+600</f>
        <v>98976.62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53374.43</f>
        <v>53374.43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53503.63</v>
      </c>
      <c r="G111" s="41">
        <f>SUM(G96:G110)</f>
        <v>122624.66</v>
      </c>
      <c r="H111" s="41">
        <f>SUM(H96:H110)</f>
        <v>98976.62</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6743148.8499999996</v>
      </c>
      <c r="G112" s="41">
        <f>G60+G111</f>
        <v>122624.66</v>
      </c>
      <c r="H112" s="41">
        <f>H60+H79+H94+H111</f>
        <v>98976.62</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10512585.949999999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602339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858.53</f>
        <v>858.53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11115783.479999999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72201.05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f>6732.85</f>
        <v>6732.85</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9078.26</f>
        <v>9078.26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124412.04</f>
        <v>124412.04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72201.05</v>
      </c>
      <c r="G136" s="41">
        <f>SUM(G123:G135)</f>
        <v>9078.26</v>
      </c>
      <c r="H136" s="41">
        <f>SUM(H123:H135)</f>
        <v>131144.88999999998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11187984.529999999</v>
      </c>
      <c r="G140" s="41">
        <f>G121+SUM(G136:G137)</f>
        <v>9078.26</v>
      </c>
      <c r="H140" s="41">
        <f>H121+SUM(H136:H139)</f>
        <v>131144.88999999998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758756.47</f>
        <v>758756.47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52523.97+426689.48</f>
        <v>479213.44999999995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67823.96</f>
        <v>67823.960000000006</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513084.94</f>
        <v>513084.94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349747.5</f>
        <v>349747.5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56541.63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f>342045.52</f>
        <v>342045.52</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56541.63</v>
      </c>
      <c r="G163" s="41">
        <f>SUM(G150:G162)</f>
        <v>513084.94</v>
      </c>
      <c r="H163" s="41">
        <f>SUM(H150:H162)</f>
        <v>1997586.9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f>8276.88</f>
        <v>8276.8799999999992</v>
      </c>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f>12543.62</f>
        <v>12543.62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69085.25</v>
      </c>
      <c r="G170" s="41">
        <f>G147+G163+SUM(G164:G169)</f>
        <v>513084.94</v>
      </c>
      <c r="H170" s="41">
        <f>H147+H163+SUM(H164:H169)</f>
        <v>2005863.7799999998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21248</v>
      </c>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8015.14</v>
      </c>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29263.14</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29263.14</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18029481.77</v>
      </c>
      <c r="G194" s="47">
        <f>G112+G140+G170+G193</f>
        <v>644787.86</v>
      </c>
      <c r="H194" s="47">
        <f>H112+H140+H170+H193</f>
        <v>2235985.2899999996</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77177.95+1619530.58+4000+1720</f>
        <v>1702428.53</v>
      </c>
      <c r="G198" s="18">
        <f>33322.86+896462.53+14203.97</f>
        <v>943989.36</v>
      </c>
      <c r="H198" s="18">
        <f>27831.66+2250</f>
        <v>30081.66</v>
      </c>
      <c r="I198" s="18">
        <f>6184.02+94850.77</f>
        <v>101034.79000000001</v>
      </c>
      <c r="J198" s="18">
        <f>97830.21+15713.99+3952.62</f>
        <v>117496.82</v>
      </c>
      <c r="K198" s="18">
        <f>0</f>
        <v>0</v>
      </c>
      <c r="L198" s="19">
        <f>SUM(F198:K198)</f>
        <v>2895031.16</v>
      </c>
      <c r="M198" s="8"/>
      <c r="N198" s="266"/>
    </row>
    <row r="199" spans="1:14" s="3" customFormat="1" ht="12.2" customHeight="1" x14ac:dyDescent="0.15">
      <c r="A199" s="1" t="s">
        <v>439</v>
      </c>
      <c r="B199" s="2" t="s">
        <v>341</v>
      </c>
      <c r="C199" s="2" t="s">
        <v>291</v>
      </c>
      <c r="D199" s="2" t="s">
        <v>431</v>
      </c>
      <c r="E199" s="6">
        <v>1200</v>
      </c>
      <c r="F199" s="18">
        <f>31299.28+11056.85+705492.59+97030.73</f>
        <v>844879.45</v>
      </c>
      <c r="G199" s="18">
        <f>845.89+5548.09+277009.79+45437.94+7072.89</f>
        <v>335914.6</v>
      </c>
      <c r="H199" s="18">
        <f>31578.8+6654.96+119830.87+5391.28</f>
        <v>163455.91</v>
      </c>
      <c r="I199" s="18">
        <f>231.02+1120.82+500.25</f>
        <v>1852.09</v>
      </c>
      <c r="J199" s="18"/>
      <c r="K199" s="18"/>
      <c r="L199" s="19">
        <f>SUM(F199:K199)</f>
        <v>1346102.0499999998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22129.68+29687</f>
        <v>51816.68</v>
      </c>
      <c r="G201" s="18">
        <f>2770.63+5097.97+433.78</f>
        <v>8302.380000000001</v>
      </c>
      <c r="H201" s="18">
        <f>251+41044.96+5221.04</f>
        <v>46517</v>
      </c>
      <c r="I201" s="18">
        <f>325+920.81</f>
        <v>1245.81</v>
      </c>
      <c r="J201" s="18"/>
      <c r="K201" s="18">
        <f>830</f>
        <v>830</v>
      </c>
      <c r="L201" s="19">
        <f>SUM(F201:K201)</f>
        <v>108711.87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79554.42+162231.96+44837+3000+880</f>
        <v>290503.38</v>
      </c>
      <c r="G203" s="18">
        <f>48297.17+72330.75+22581.44+2399.46</f>
        <v>145608.81999999998</v>
      </c>
      <c r="H203" s="18">
        <f>6328.52+38359.98+22208.29+266071.72+11983.98</f>
        <v>344952.49</v>
      </c>
      <c r="I203" s="18">
        <f>2596.88+1321.91+75.15</f>
        <v>3993.94</v>
      </c>
      <c r="J203" s="18">
        <f>454.74+29.99+2724</f>
        <v>3208.73</v>
      </c>
      <c r="K203" s="18">
        <f>129</f>
        <v>129</v>
      </c>
      <c r="L203" s="19">
        <f t="shared" ref="L203:L209" si="0">SUM(F203:K203)</f>
        <v>788396.35999999987</v>
      </c>
      <c r="M203" s="8"/>
      <c r="N203" s="266"/>
    </row>
    <row r="204" spans="1:14" s="3" customFormat="1" ht="12.2" customHeight="1" x14ac:dyDescent="0.15">
      <c r="A204" s="1" t="s">
        <v>443</v>
      </c>
      <c r="B204" s="2" t="s">
        <v>341</v>
      </c>
      <c r="C204" s="2" t="s">
        <v>295</v>
      </c>
      <c r="D204" s="2" t="s">
        <v>431</v>
      </c>
      <c r="E204" s="6">
        <v>2200</v>
      </c>
      <c r="F204" s="18">
        <f>528+88422.2</f>
        <v>88950.2</v>
      </c>
      <c r="G204" s="18">
        <f>284.02+30397.21+23107.95+744.64</f>
        <v>54533.82</v>
      </c>
      <c r="H204" s="18">
        <f>9253.85+2726+799.34</f>
        <v>12779.19</v>
      </c>
      <c r="I204" s="18">
        <f>1032.39+428.68</f>
        <v>1461.0700000000002</v>
      </c>
      <c r="J204" s="18"/>
      <c r="K204" s="18"/>
      <c r="L204" s="19">
        <f t="shared" si="0"/>
        <v>157724.28</v>
      </c>
      <c r="M204" s="8"/>
      <c r="N204" s="266"/>
    </row>
    <row r="205" spans="1:14" s="3" customFormat="1" ht="12.2" customHeight="1" x14ac:dyDescent="0.15">
      <c r="A205" s="1" t="s">
        <v>444</v>
      </c>
      <c r="B205" s="2" t="s">
        <v>341</v>
      </c>
      <c r="C205" s="2" t="s">
        <v>296</v>
      </c>
      <c r="D205" s="2" t="s">
        <v>431</v>
      </c>
      <c r="E205" s="6">
        <v>2300</v>
      </c>
      <c r="F205" s="18">
        <f>72461.62+63077.26+50533.23+1800+1960</f>
        <v>189832.11000000002</v>
      </c>
      <c r="G205" s="18">
        <f>26893.78+15433.58+34442.26+1557.7</f>
        <v>78327.319999999992</v>
      </c>
      <c r="H205" s="18">
        <f>8234.81+25784.77+19165.14+3011.6+32104.16</f>
        <v>88300.479999999996</v>
      </c>
      <c r="I205" s="18">
        <f>10749.12+3672.84+5015.15</f>
        <v>19437.11</v>
      </c>
      <c r="J205" s="18">
        <f>810.07+2388.14</f>
        <v>3198.21</v>
      </c>
      <c r="K205" s="18">
        <f>9682.74+6605.31+406.7</f>
        <v>16694.75</v>
      </c>
      <c r="L205" s="19">
        <f t="shared" si="0"/>
        <v>395789.98</v>
      </c>
      <c r="M205" s="8"/>
      <c r="N205" s="266"/>
    </row>
    <row r="206" spans="1:14" s="3" customFormat="1" ht="12.2" customHeight="1" x14ac:dyDescent="0.15">
      <c r="A206" s="1" t="s">
        <v>445</v>
      </c>
      <c r="B206" s="2" t="s">
        <v>341</v>
      </c>
      <c r="C206" s="2" t="s">
        <v>297</v>
      </c>
      <c r="D206" s="2" t="s">
        <v>431</v>
      </c>
      <c r="E206" s="6">
        <v>2400</v>
      </c>
      <c r="F206" s="18">
        <f>190063.24</f>
        <v>190063.24</v>
      </c>
      <c r="G206" s="18">
        <f>110227.53+1591.11</f>
        <v>111818.64</v>
      </c>
      <c r="H206" s="18">
        <f>118675.37</f>
        <v>118675.37</v>
      </c>
      <c r="I206" s="18">
        <f>4823.17</f>
        <v>4823.17</v>
      </c>
      <c r="J206" s="18">
        <f>7738.8</f>
        <v>7738.8</v>
      </c>
      <c r="K206" s="18">
        <f>2129</f>
        <v>2129</v>
      </c>
      <c r="L206" s="19">
        <f t="shared" si="0"/>
        <v>435248.22</v>
      </c>
      <c r="M206" s="8"/>
      <c r="N206" s="266"/>
    </row>
    <row r="207" spans="1:14" s="3" customFormat="1" ht="12.2" customHeight="1" x14ac:dyDescent="0.15">
      <c r="A207" s="1" t="s">
        <v>446</v>
      </c>
      <c r="B207" s="2" t="s">
        <v>341</v>
      </c>
      <c r="C207" s="2" t="s">
        <v>298</v>
      </c>
      <c r="D207" s="2" t="s">
        <v>431</v>
      </c>
      <c r="E207" s="6">
        <v>2500</v>
      </c>
      <c r="F207" s="18">
        <f>74379.95</f>
        <v>74379.95</v>
      </c>
      <c r="G207" s="18">
        <f>36838.28+622.67</f>
        <v>37460.949999999997</v>
      </c>
      <c r="H207" s="18">
        <f>1053.37+15392.08</f>
        <v>16445.45</v>
      </c>
      <c r="I207" s="18"/>
      <c r="J207" s="18"/>
      <c r="K207" s="18">
        <f>188.76</f>
        <v>188.76</v>
      </c>
      <c r="L207" s="19">
        <f t="shared" si="0"/>
        <v>128475.10999999999</v>
      </c>
      <c r="M207" s="8"/>
      <c r="N207" s="266"/>
    </row>
    <row r="208" spans="1:14" s="3" customFormat="1" ht="12.2" customHeight="1" x14ac:dyDescent="0.15">
      <c r="A208" s="1" t="s">
        <v>447</v>
      </c>
      <c r="B208" s="2" t="s">
        <v>341</v>
      </c>
      <c r="C208" s="2" t="s">
        <v>299</v>
      </c>
      <c r="D208" s="2" t="s">
        <v>431</v>
      </c>
      <c r="E208" s="6">
        <v>2600</v>
      </c>
      <c r="F208" s="18">
        <f>99077.17+45003.93</f>
        <v>144081.1</v>
      </c>
      <c r="G208" s="18">
        <f>46486.75+15243.78+1206.17</f>
        <v>62936.7</v>
      </c>
      <c r="H208" s="18">
        <f>106764.5+4430.97+13626.8</f>
        <v>124822.27</v>
      </c>
      <c r="I208" s="18">
        <f>36815.15+1871.75</f>
        <v>38686.9</v>
      </c>
      <c r="J208" s="18">
        <f>19697.2</f>
        <v>19697.2</v>
      </c>
      <c r="K208" s="18">
        <f>58.27</f>
        <v>58.27</v>
      </c>
      <c r="L208" s="19">
        <f t="shared" si="0"/>
        <v>390282.44000000006</v>
      </c>
      <c r="M208" s="8"/>
      <c r="N208" s="266"/>
    </row>
    <row r="209" spans="1:14" s="3" customFormat="1" ht="12.2" customHeight="1" x14ac:dyDescent="0.15">
      <c r="A209" s="1" t="s">
        <v>448</v>
      </c>
      <c r="B209" s="2" t="s">
        <v>341</v>
      </c>
      <c r="C209" s="2" t="s">
        <v>300</v>
      </c>
      <c r="D209" s="2" t="s">
        <v>431</v>
      </c>
      <c r="E209" s="6">
        <v>2700</v>
      </c>
      <c r="F209" s="18">
        <f>104922.46+2224.67+2927.42+1433.37+100.51</f>
        <v>111608.43</v>
      </c>
      <c r="G209" s="18">
        <f>26262.44+170.21+223.67+109.57+7.66+934.33</f>
        <v>27707.879999999997</v>
      </c>
      <c r="H209" s="18">
        <f>37358.03</f>
        <v>37358.03</v>
      </c>
      <c r="I209" s="18">
        <f>26405.76</f>
        <v>26405.759999999998</v>
      </c>
      <c r="J209" s="18">
        <f>5444.05</f>
        <v>5444.05</v>
      </c>
      <c r="K209" s="18">
        <f>202.8</f>
        <v>202.8</v>
      </c>
      <c r="L209" s="19">
        <f t="shared" si="0"/>
        <v>208726.94999999998</v>
      </c>
      <c r="M209" s="8"/>
      <c r="N209" s="266"/>
    </row>
    <row r="210" spans="1:14" s="3" customFormat="1" ht="12.2" customHeight="1" x14ac:dyDescent="0.15">
      <c r="A210" s="1" t="s">
        <v>449</v>
      </c>
      <c r="B210" s="2" t="s">
        <v>341</v>
      </c>
      <c r="C210" s="2" t="s">
        <v>343</v>
      </c>
      <c r="D210" s="2" t="s">
        <v>431</v>
      </c>
      <c r="E210" s="6">
        <v>2800</v>
      </c>
      <c r="F210" s="18">
        <f>1903.03</f>
        <v>1903.03</v>
      </c>
      <c r="G210" s="18">
        <f>145.59+15.93</f>
        <v>161.52000000000001</v>
      </c>
      <c r="H210" s="18"/>
      <c r="I210" s="18"/>
      <c r="J210" s="18"/>
      <c r="K210" s="18"/>
      <c r="L210" s="19">
        <f>SUM(F210:K210)</f>
        <v>2064.5500000000002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3690446.1</v>
      </c>
      <c r="G212" s="41">
        <f t="shared" si="1"/>
        <v>1806761.9899999998</v>
      </c>
      <c r="H212" s="41">
        <f t="shared" si="1"/>
        <v>983387.85</v>
      </c>
      <c r="I212" s="41">
        <f t="shared" si="1"/>
        <v>198940.64</v>
      </c>
      <c r="J212" s="41">
        <f t="shared" si="1"/>
        <v>156783.81</v>
      </c>
      <c r="K212" s="41">
        <f t="shared" si="1"/>
        <v>20232.579999999998</v>
      </c>
      <c r="L212" s="41">
        <f t="shared" si="1"/>
        <v>6856552.9699999997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40343.02+1031035.11+2000+940</f>
        <v>1074318.1299999999</v>
      </c>
      <c r="G216" s="18">
        <f>17418.77+559985.36+8969.02</f>
        <v>586373.15</v>
      </c>
      <c r="H216" s="18">
        <f>14548.37+1625</f>
        <v>16173.37</v>
      </c>
      <c r="I216" s="18">
        <f>3232.56+54125.47</f>
        <v>57358.03</v>
      </c>
      <c r="J216" s="18">
        <f>51138.52+10713.13+2415</f>
        <v>64266.649999999994</v>
      </c>
      <c r="K216" s="18">
        <f>2579</f>
        <v>2579</v>
      </c>
      <c r="L216" s="19">
        <f>SUM(F216:K216)</f>
        <v>1801068.3299999998</v>
      </c>
      <c r="M216" s="8"/>
      <c r="N216" s="266"/>
    </row>
    <row r="217" spans="1:14" s="3" customFormat="1" ht="12.2" customHeight="1" x14ac:dyDescent="0.15">
      <c r="A217" s="1" t="s">
        <v>439</v>
      </c>
      <c r="B217" s="2" t="s">
        <v>346</v>
      </c>
      <c r="C217" s="2" t="s">
        <v>291</v>
      </c>
      <c r="D217" s="2" t="s">
        <v>431</v>
      </c>
      <c r="E217" s="6">
        <v>1200</v>
      </c>
      <c r="F217" s="18">
        <f>9128.96+4738.65+424287.47+43032.27</f>
        <v>481187.35</v>
      </c>
      <c r="G217" s="18">
        <f>362.52+1618.19+190709.41+15270.32+3988.58</f>
        <v>211949.02</v>
      </c>
      <c r="H217" s="18">
        <f>13533.78+391198.59</f>
        <v>404732.37000000005</v>
      </c>
      <c r="I217" s="18">
        <f>67.38+494.57+385.25</f>
        <v>947.2</v>
      </c>
      <c r="J217" s="18"/>
      <c r="K217" s="18"/>
      <c r="L217" s="19">
        <f>SUM(F217:K217)</f>
        <v>1098815.94</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14677.01+18080</f>
        <v>32757.010000000002</v>
      </c>
      <c r="G219" s="18">
        <f>2547.1+3749.77+274.22</f>
        <v>6571.09</v>
      </c>
      <c r="H219" s="18">
        <f>1540+8955.04+2729.18</f>
        <v>13224.220000000001</v>
      </c>
      <c r="I219" s="18">
        <f>2953.68</f>
        <v>2953.68</v>
      </c>
      <c r="J219" s="18">
        <f>1100</f>
        <v>1100</v>
      </c>
      <c r="K219" s="18">
        <f>1725+559</f>
        <v>2284</v>
      </c>
      <c r="L219" s="19">
        <f>SUM(F219:K219)</f>
        <v>58890.000000000007</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460+22098.45+122439.22+45855.54+17700.8</f>
        <v>208554.01</v>
      </c>
      <c r="G221" s="18">
        <f>13415.88+54589.24+22836.24+8914.68+1742.05</f>
        <v>101498.09000000001</v>
      </c>
      <c r="H221" s="18">
        <f>3308.09+10655.55+16760.97+23650.82+902.02+19416.3+2750+1363</f>
        <v>78806.75</v>
      </c>
      <c r="I221" s="18">
        <f>721.36+997.66+753.08+1918.07</f>
        <v>4390.17</v>
      </c>
      <c r="J221" s="18">
        <f>343.2</f>
        <v>343.2</v>
      </c>
      <c r="K221" s="18">
        <f>534+49.95</f>
        <v>583.95000000000005</v>
      </c>
      <c r="L221" s="19">
        <f t="shared" ref="L221:L227" si="2">SUM(F221:K221)</f>
        <v>394176.17000000004</v>
      </c>
      <c r="M221" s="8"/>
      <c r="N221" s="266"/>
    </row>
    <row r="222" spans="1:14" s="3" customFormat="1" ht="12.2" customHeight="1" x14ac:dyDescent="0.15">
      <c r="A222" s="1" t="s">
        <v>443</v>
      </c>
      <c r="B222" s="2" t="s">
        <v>346</v>
      </c>
      <c r="C222" s="2" t="s">
        <v>295</v>
      </c>
      <c r="D222" s="2" t="s">
        <v>431</v>
      </c>
      <c r="E222" s="6">
        <v>2200</v>
      </c>
      <c r="F222" s="18">
        <f>276+950.77</f>
        <v>1226.77</v>
      </c>
      <c r="G222" s="18">
        <f>21.38+2437.5+230.57+10.27</f>
        <v>2699.7200000000003</v>
      </c>
      <c r="H222" s="18">
        <f>4837.25+4304.57+3696.84+737</f>
        <v>13575.66</v>
      </c>
      <c r="I222" s="18">
        <f>356.66+4057.85</f>
        <v>4414.51</v>
      </c>
      <c r="J222" s="18"/>
      <c r="K222" s="18">
        <f>5061.44</f>
        <v>5061.4399999999996</v>
      </c>
      <c r="L222" s="19">
        <f t="shared" si="2"/>
        <v>26978.100000000002</v>
      </c>
      <c r="M222" s="8"/>
      <c r="N222" s="266"/>
    </row>
    <row r="223" spans="1:14" s="3" customFormat="1" ht="12.2" customHeight="1" x14ac:dyDescent="0.15">
      <c r="A223" s="1" t="s">
        <v>444</v>
      </c>
      <c r="B223" s="2" t="s">
        <v>346</v>
      </c>
      <c r="C223" s="2" t="s">
        <v>296</v>
      </c>
      <c r="D223" s="2" t="s">
        <v>431</v>
      </c>
      <c r="E223" s="6">
        <v>2300</v>
      </c>
      <c r="F223" s="18">
        <f>37877.67+27033.12+1000</f>
        <v>65910.789999999994</v>
      </c>
      <c r="G223" s="18">
        <f>14058.11+6614.4+543.4</f>
        <v>21215.910000000003</v>
      </c>
      <c r="H223" s="18">
        <f>13478.4+8213.64+16781.72</f>
        <v>38473.760000000002</v>
      </c>
      <c r="I223" s="18">
        <f>5618.86+1071.25</f>
        <v>6690.11</v>
      </c>
      <c r="J223" s="18">
        <f>423.45+1023.49</f>
        <v>1446.94</v>
      </c>
      <c r="K223" s="18">
        <f>3452.77+174.3</f>
        <v>3627.07</v>
      </c>
      <c r="L223" s="19">
        <f t="shared" si="2"/>
        <v>137364.57999999999</v>
      </c>
      <c r="M223" s="8"/>
      <c r="N223" s="266"/>
    </row>
    <row r="224" spans="1:14" s="3" customFormat="1" ht="12.2" customHeight="1" x14ac:dyDescent="0.15">
      <c r="A224" s="1" t="s">
        <v>445</v>
      </c>
      <c r="B224" s="2" t="s">
        <v>346</v>
      </c>
      <c r="C224" s="2" t="s">
        <v>297</v>
      </c>
      <c r="D224" s="2" t="s">
        <v>431</v>
      </c>
      <c r="E224" s="6">
        <v>2400</v>
      </c>
      <c r="F224" s="18">
        <f>154918.79</f>
        <v>154918.79</v>
      </c>
      <c r="G224" s="18">
        <f>87143.52+1296.96</f>
        <v>88440.48000000001</v>
      </c>
      <c r="H224" s="18">
        <f>15587.98</f>
        <v>15587.98</v>
      </c>
      <c r="I224" s="18">
        <f>1177.36</f>
        <v>1177.3599999999999</v>
      </c>
      <c r="J224" s="18">
        <f>1500</f>
        <v>1500</v>
      </c>
      <c r="K224" s="18">
        <f>872.5</f>
        <v>872.5</v>
      </c>
      <c r="L224" s="19">
        <f t="shared" si="2"/>
        <v>262497.11</v>
      </c>
      <c r="M224" s="8"/>
      <c r="N224" s="266"/>
    </row>
    <row r="225" spans="1:14" s="3" customFormat="1" ht="12.2" customHeight="1" x14ac:dyDescent="0.15">
      <c r="A225" s="1" t="s">
        <v>446</v>
      </c>
      <c r="B225" s="2" t="s">
        <v>346</v>
      </c>
      <c r="C225" s="2" t="s">
        <v>298</v>
      </c>
      <c r="D225" s="2" t="s">
        <v>431</v>
      </c>
      <c r="E225" s="6">
        <v>2500</v>
      </c>
      <c r="F225" s="18">
        <f>38880.43</f>
        <v>38880.43</v>
      </c>
      <c r="G225" s="18">
        <f>19256.37+325.49</f>
        <v>19581.86</v>
      </c>
      <c r="H225" s="18">
        <f>550.62+8045.86</f>
        <v>8596.48</v>
      </c>
      <c r="I225" s="18"/>
      <c r="J225" s="18"/>
      <c r="K225" s="18">
        <f>98.67</f>
        <v>98.67</v>
      </c>
      <c r="L225" s="19">
        <f t="shared" si="2"/>
        <v>67157.440000000002</v>
      </c>
      <c r="M225" s="8"/>
      <c r="N225" s="266"/>
    </row>
    <row r="226" spans="1:14" s="3" customFormat="1" ht="12.2" customHeight="1" x14ac:dyDescent="0.15">
      <c r="A226" s="1" t="s">
        <v>447</v>
      </c>
      <c r="B226" s="2" t="s">
        <v>346</v>
      </c>
      <c r="C226" s="2" t="s">
        <v>299</v>
      </c>
      <c r="D226" s="2" t="s">
        <v>431</v>
      </c>
      <c r="E226" s="6">
        <v>2600</v>
      </c>
      <c r="F226" s="18">
        <f>51790.34+47738.62</f>
        <v>99528.959999999992</v>
      </c>
      <c r="G226" s="18">
        <f>24299.89+61696.32+833.2</f>
        <v>86829.409999999989</v>
      </c>
      <c r="H226" s="18">
        <f>55808.72+8357.97+7123.1</f>
        <v>71289.790000000008</v>
      </c>
      <c r="I226" s="18">
        <f>19244.29+149889.4</f>
        <v>169133.69</v>
      </c>
      <c r="J226" s="18">
        <v>10296.27</v>
      </c>
      <c r="K226" s="18">
        <f>43.98</f>
        <v>43.98</v>
      </c>
      <c r="L226" s="19">
        <f t="shared" si="2"/>
        <v>437122.1</v>
      </c>
      <c r="M226" s="8"/>
      <c r="N226" s="266"/>
    </row>
    <row r="227" spans="1:14" s="3" customFormat="1" ht="12.2" customHeight="1" x14ac:dyDescent="0.15">
      <c r="A227" s="1" t="s">
        <v>448</v>
      </c>
      <c r="B227" s="2" t="s">
        <v>346</v>
      </c>
      <c r="C227" s="2" t="s">
        <v>300</v>
      </c>
      <c r="D227" s="2" t="s">
        <v>431</v>
      </c>
      <c r="E227" s="6">
        <v>2700</v>
      </c>
      <c r="F227" s="18">
        <f>33898.02+648.86+778.17+3301.91+731.84</f>
        <v>39358.799999999988</v>
      </c>
      <c r="G227" s="18">
        <f>329.49+8484.79+49.64+59.46+252.38+55.94</f>
        <v>9231.6999999999989</v>
      </c>
      <c r="H227" s="18">
        <f>12069.52</f>
        <v>12069.52</v>
      </c>
      <c r="I227" s="18">
        <f>8531.09</f>
        <v>8531.09</v>
      </c>
      <c r="J227" s="18">
        <f>1758.85</f>
        <v>1758.85</v>
      </c>
      <c r="K227" s="18">
        <v>65.52</v>
      </c>
      <c r="L227" s="19">
        <f t="shared" si="2"/>
        <v>71015.48</v>
      </c>
      <c r="M227" s="8"/>
      <c r="N227" s="266"/>
    </row>
    <row r="228" spans="1:14" s="3" customFormat="1" ht="12.2" customHeight="1" x14ac:dyDescent="0.15">
      <c r="A228" s="1" t="s">
        <v>449</v>
      </c>
      <c r="B228" s="2" t="s">
        <v>346</v>
      </c>
      <c r="C228" s="2" t="s">
        <v>343</v>
      </c>
      <c r="D228" s="2" t="s">
        <v>431</v>
      </c>
      <c r="E228" s="6">
        <v>2800</v>
      </c>
      <c r="F228" s="18">
        <f>994.77</f>
        <v>994.77</v>
      </c>
      <c r="G228" s="18">
        <f>76.1+8.33</f>
        <v>84.429999999999993</v>
      </c>
      <c r="H228" s="18"/>
      <c r="I228" s="18"/>
      <c r="J228" s="18"/>
      <c r="K228" s="18"/>
      <c r="L228" s="19">
        <f>SUM(F228:K228)</f>
        <v>1079.2</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2197635.81</v>
      </c>
      <c r="G230" s="41">
        <f>SUM(G216:G229)</f>
        <v>1134474.8599999999</v>
      </c>
      <c r="H230" s="41">
        <f>SUM(H216:H229)</f>
        <v>672529.90000000014</v>
      </c>
      <c r="I230" s="41">
        <f>SUM(I216:I229)</f>
        <v>255595.84</v>
      </c>
      <c r="J230" s="41">
        <f>SUM(J216:J229)</f>
        <v>80711.91</v>
      </c>
      <c r="K230" s="41">
        <f t="shared" si="3"/>
        <v>15216.13</v>
      </c>
      <c r="L230" s="41">
        <f t="shared" si="3"/>
        <v>4356164.45</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57883.46+1563026.43+4333.54+1340</f>
        <v>1626583.43</v>
      </c>
      <c r="G234" s="18">
        <f>24992.14+827651.43+13569.41</f>
        <v>866212.9800000001</v>
      </c>
      <c r="H234" s="18">
        <f>20873.74+2785.13</f>
        <v>23658.870000000003</v>
      </c>
      <c r="I234" s="18">
        <f>4638.01+46679.15</f>
        <v>51317.16</v>
      </c>
      <c r="J234" s="18">
        <f>73372.66+11786.97+3452</f>
        <v>88611.63</v>
      </c>
      <c r="K234" s="18">
        <f>430</f>
        <v>430</v>
      </c>
      <c r="L234" s="19">
        <f>SUM(F234:K234)</f>
        <v>2656814.0700000003</v>
      </c>
      <c r="M234" s="8"/>
      <c r="N234" s="266"/>
    </row>
    <row r="235" spans="1:14" s="3" customFormat="1" ht="12.2" customHeight="1" x14ac:dyDescent="0.15">
      <c r="A235" s="1" t="s">
        <v>439</v>
      </c>
      <c r="B235" s="2" t="s">
        <v>350</v>
      </c>
      <c r="C235" s="2" t="s">
        <v>291</v>
      </c>
      <c r="D235" s="2" t="s">
        <v>431</v>
      </c>
      <c r="E235" s="6">
        <v>1200</v>
      </c>
      <c r="F235" s="18">
        <f>3042.99+6769.5+296156.39+2000</f>
        <v>307968.88</v>
      </c>
      <c r="G235" s="18">
        <f>517.89+539.4+77122.02+2561.41</f>
        <v>80740.72</v>
      </c>
      <c r="H235" s="18">
        <f>19333.97+361913.96+41980</f>
        <v>423227.93000000005</v>
      </c>
      <c r="I235" s="18">
        <f>22.46+922.96</f>
        <v>945.42000000000007</v>
      </c>
      <c r="J235" s="18"/>
      <c r="K235" s="18"/>
      <c r="L235" s="19">
        <f>SUM(F235:K235)</f>
        <v>812882.95000000007</v>
      </c>
      <c r="M235" s="8"/>
      <c r="N235" s="266"/>
    </row>
    <row r="236" spans="1:14" s="3" customFormat="1" ht="12.2" customHeight="1" x14ac:dyDescent="0.15">
      <c r="A236" s="1" t="s">
        <v>440</v>
      </c>
      <c r="B236" s="2" t="s">
        <v>350</v>
      </c>
      <c r="C236" s="2" t="s">
        <v>292</v>
      </c>
      <c r="D236" s="2" t="s">
        <v>431</v>
      </c>
      <c r="E236" s="6">
        <v>1300</v>
      </c>
      <c r="F236" s="18">
        <f>505721.43+4000</f>
        <v>509721.43</v>
      </c>
      <c r="G236" s="18">
        <f>255059.17+4233.63</f>
        <v>259292.80000000002</v>
      </c>
      <c r="H236" s="18">
        <f>16515.54</f>
        <v>16515.54</v>
      </c>
      <c r="I236" s="18">
        <f>31557.67</f>
        <v>31557.67</v>
      </c>
      <c r="J236" s="18">
        <f>1073.02</f>
        <v>1073.02</v>
      </c>
      <c r="K236" s="18"/>
      <c r="L236" s="19">
        <f>SUM(F236:K236)</f>
        <v>818160.46000000008</v>
      </c>
      <c r="M236" s="8"/>
      <c r="N236" s="266"/>
    </row>
    <row r="237" spans="1:14" s="3" customFormat="1" ht="12.2" customHeight="1" x14ac:dyDescent="0.15">
      <c r="A237" s="1" t="s">
        <v>441</v>
      </c>
      <c r="B237" s="2" t="s">
        <v>350</v>
      </c>
      <c r="C237" s="2" t="s">
        <v>293</v>
      </c>
      <c r="D237" s="2" t="s">
        <v>431</v>
      </c>
      <c r="E237" s="6">
        <v>1400</v>
      </c>
      <c r="F237" s="18">
        <f>20301.17+72133</f>
        <v>92434.17</v>
      </c>
      <c r="G237" s="18">
        <f>4578.95+14422.5+773.81</f>
        <v>19775.260000000002</v>
      </c>
      <c r="H237" s="18">
        <f>40770+3915.78</f>
        <v>44685.78</v>
      </c>
      <c r="I237" s="18">
        <f>446.78+10586.73</f>
        <v>11033.51</v>
      </c>
      <c r="J237" s="18">
        <f>2762.3</f>
        <v>2762.3</v>
      </c>
      <c r="K237" s="18">
        <f>385+9486.62</f>
        <v>9871.6200000000008</v>
      </c>
      <c r="L237" s="19">
        <f>SUM(F237:K237)</f>
        <v>180562.63999999998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45670.13+21426.86+187300.88+44319+660</f>
        <v>299376.87</v>
      </c>
      <c r="G239" s="18">
        <f>27726.16+9553.12+90026.68+40121.74+2500.7</f>
        <v>169928.4</v>
      </c>
      <c r="H239" s="18">
        <f>4746.39+22021.47+2933.17+5912.71+3925.28+1363+2750</f>
        <v>43652.02</v>
      </c>
      <c r="I239" s="18">
        <f>1490.81+174.59+5795.1+2856.39</f>
        <v>10316.89</v>
      </c>
      <c r="J239" s="18">
        <f>60.06+1687.33</f>
        <v>1747.3899999999999</v>
      </c>
      <c r="K239" s="18">
        <f>204</f>
        <v>204</v>
      </c>
      <c r="L239" s="19">
        <f t="shared" ref="L239:L245" si="4">SUM(F239:K239)</f>
        <v>525225.57000000007</v>
      </c>
      <c r="M239" s="8"/>
      <c r="N239" s="266"/>
    </row>
    <row r="240" spans="1:14" s="3" customFormat="1" ht="12.2" customHeight="1" x14ac:dyDescent="0.15">
      <c r="A240" s="1" t="s">
        <v>443</v>
      </c>
      <c r="B240" s="2" t="s">
        <v>350</v>
      </c>
      <c r="C240" s="2" t="s">
        <v>295</v>
      </c>
      <c r="D240" s="2" t="s">
        <v>431</v>
      </c>
      <c r="E240" s="6">
        <v>2200</v>
      </c>
      <c r="F240" s="18">
        <f>396+50757</f>
        <v>51153</v>
      </c>
      <c r="G240" s="18">
        <f>13462.5+24102.29+428.23</f>
        <v>37993.020000000004</v>
      </c>
      <c r="H240" s="18">
        <f>6940.4+498+17724.81</f>
        <v>25163.21</v>
      </c>
      <c r="I240" s="18">
        <f>551.5+1525</f>
        <v>2076.5</v>
      </c>
      <c r="J240" s="18">
        <f>4720.3</f>
        <v>4720.3</v>
      </c>
      <c r="K240" s="18"/>
      <c r="L240" s="19">
        <f t="shared" si="4"/>
        <v>121106.03000000001</v>
      </c>
      <c r="M240" s="8"/>
      <c r="N240" s="266"/>
    </row>
    <row r="241" spans="1:14" s="3" customFormat="1" ht="12.2" customHeight="1" x14ac:dyDescent="0.15">
      <c r="A241" s="1" t="s">
        <v>444</v>
      </c>
      <c r="B241" s="2" t="s">
        <v>350</v>
      </c>
      <c r="C241" s="2" t="s">
        <v>296</v>
      </c>
      <c r="D241" s="2" t="s">
        <v>431</v>
      </c>
      <c r="E241" s="6">
        <v>2300</v>
      </c>
      <c r="F241" s="18">
        <f>54346.22+38618.74+63573.83+1240</f>
        <v>157778.78999999998</v>
      </c>
      <c r="G241" s="18">
        <f>20170.33+9449.14+24799.99+1310.46</f>
        <v>55729.920000000006</v>
      </c>
      <c r="H241" s="18">
        <f>6176.12+19338.57+11733.77+19216.86+24078.12</f>
        <v>80543.44</v>
      </c>
      <c r="I241" s="18">
        <f>8061.84+357.08</f>
        <v>8418.92</v>
      </c>
      <c r="J241" s="18">
        <f>607.56+1462.13</f>
        <v>2069.69</v>
      </c>
      <c r="K241" s="18">
        <f>7262.06+4953.98+249+278.4</f>
        <v>12743.44</v>
      </c>
      <c r="L241" s="19">
        <f t="shared" si="4"/>
        <v>317284.2</v>
      </c>
      <c r="M241" s="8"/>
      <c r="N241" s="266"/>
    </row>
    <row r="242" spans="1:14" s="3" customFormat="1" ht="12.2" customHeight="1" x14ac:dyDescent="0.15">
      <c r="A242" s="1" t="s">
        <v>445</v>
      </c>
      <c r="B242" s="2" t="s">
        <v>350</v>
      </c>
      <c r="C242" s="2" t="s">
        <v>297</v>
      </c>
      <c r="D242" s="2" t="s">
        <v>431</v>
      </c>
      <c r="E242" s="6">
        <v>2400</v>
      </c>
      <c r="F242" s="18">
        <f>154808.66+2000</f>
        <v>156808.66</v>
      </c>
      <c r="G242" s="18">
        <f>77795.73+1295.98</f>
        <v>79091.709999999992</v>
      </c>
      <c r="H242" s="18">
        <f>74426.29</f>
        <v>74426.289999999994</v>
      </c>
      <c r="I242" s="18">
        <f>8045.51</f>
        <v>8045.51</v>
      </c>
      <c r="J242" s="18">
        <f>179.95</f>
        <v>179.95</v>
      </c>
      <c r="K242" s="18">
        <f>4417.5</f>
        <v>4417.5</v>
      </c>
      <c r="L242" s="19">
        <f t="shared" si="4"/>
        <v>322969.62</v>
      </c>
      <c r="M242" s="8"/>
      <c r="N242" s="266"/>
    </row>
    <row r="243" spans="1:14" s="3" customFormat="1" ht="12.2" customHeight="1" x14ac:dyDescent="0.15">
      <c r="A243" s="1" t="s">
        <v>446</v>
      </c>
      <c r="B243" s="2" t="s">
        <v>350</v>
      </c>
      <c r="C243" s="2" t="s">
        <v>298</v>
      </c>
      <c r="D243" s="2" t="s">
        <v>431</v>
      </c>
      <c r="E243" s="6">
        <v>2500</v>
      </c>
      <c r="F243" s="18">
        <f>55784.97</f>
        <v>55784.97</v>
      </c>
      <c r="G243" s="18">
        <f>27628.71+467</f>
        <v>28095.71</v>
      </c>
      <c r="H243" s="18">
        <f>790.02+11544.06</f>
        <v>12334.08</v>
      </c>
      <c r="I243" s="18"/>
      <c r="J243" s="18"/>
      <c r="K243" s="18">
        <f>141.57</f>
        <v>141.57</v>
      </c>
      <c r="L243" s="19">
        <f t="shared" si="4"/>
        <v>96356.33</v>
      </c>
      <c r="M243" s="8"/>
      <c r="N243" s="266"/>
    </row>
    <row r="244" spans="1:14" s="3" customFormat="1" ht="12.2" customHeight="1" x14ac:dyDescent="0.15">
      <c r="A244" s="1" t="s">
        <v>447</v>
      </c>
      <c r="B244" s="2" t="s">
        <v>350</v>
      </c>
      <c r="C244" s="2" t="s">
        <v>299</v>
      </c>
      <c r="D244" s="2" t="s">
        <v>431</v>
      </c>
      <c r="E244" s="6">
        <v>2600</v>
      </c>
      <c r="F244" s="18">
        <f>74307.88+142968.8</f>
        <v>217276.68</v>
      </c>
      <c r="G244" s="18">
        <f>34865.06+90078.42+1818.93</f>
        <v>126762.40999999999</v>
      </c>
      <c r="H244" s="18">
        <f>80073.38+4211.27+10220.1</f>
        <v>94504.750000000015</v>
      </c>
      <c r="I244" s="18">
        <f>27611.37+169606.87</f>
        <v>197218.24</v>
      </c>
      <c r="J244" s="18">
        <f>14772.9</f>
        <v>14772.9</v>
      </c>
      <c r="K244" s="18">
        <f>7.7</f>
        <v>7.7</v>
      </c>
      <c r="L244" s="19">
        <f t="shared" si="4"/>
        <v>650542.67999999993</v>
      </c>
      <c r="M244" s="8"/>
      <c r="N244" s="266"/>
    </row>
    <row r="245" spans="1:14" s="3" customFormat="1" ht="12.2" customHeight="1" x14ac:dyDescent="0.15">
      <c r="A245" s="1" t="s">
        <v>448</v>
      </c>
      <c r="B245" s="2" t="s">
        <v>350</v>
      </c>
      <c r="C245" s="2" t="s">
        <v>300</v>
      </c>
      <c r="D245" s="2" t="s">
        <v>431</v>
      </c>
      <c r="E245" s="6">
        <v>2700</v>
      </c>
      <c r="F245" s="18">
        <f>22598.68+216.29+181.51</f>
        <v>22996.48</v>
      </c>
      <c r="G245" s="18">
        <f>5656.53+16.55+13.88+192.51+12.16+1013.61</f>
        <v>6905.24</v>
      </c>
      <c r="H245" s="18">
        <f>8046.35</f>
        <v>8046.35</v>
      </c>
      <c r="I245" s="18">
        <f>5687.4+159.25+13256.6</f>
        <v>19103.25</v>
      </c>
      <c r="J245" s="18">
        <f>1172.57</f>
        <v>1172.57</v>
      </c>
      <c r="K245" s="18">
        <f>43.68</f>
        <v>43.68</v>
      </c>
      <c r="L245" s="19">
        <f t="shared" si="4"/>
        <v>58267.57</v>
      </c>
      <c r="M245" s="8"/>
      <c r="N245" s="266"/>
    </row>
    <row r="246" spans="1:14" s="3" customFormat="1" ht="12.2" customHeight="1" x14ac:dyDescent="0.15">
      <c r="A246" s="1" t="s">
        <v>449</v>
      </c>
      <c r="B246" s="2" t="s">
        <v>350</v>
      </c>
      <c r="C246" s="2" t="s">
        <v>343</v>
      </c>
      <c r="D246" s="2" t="s">
        <v>431</v>
      </c>
      <c r="E246" s="6">
        <v>2800</v>
      </c>
      <c r="F246" s="18">
        <f>1427.28</f>
        <v>1427.28</v>
      </c>
      <c r="G246" s="18">
        <f>109.19+11.95</f>
        <v>121.14</v>
      </c>
      <c r="H246" s="18"/>
      <c r="I246" s="18"/>
      <c r="J246" s="18"/>
      <c r="K246" s="18"/>
      <c r="L246" s="19">
        <f>SUM(F246:K246)</f>
        <v>1548.42</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3499310.6400000006</v>
      </c>
      <c r="G248" s="41">
        <f t="shared" si="5"/>
        <v>1730649.3099999996</v>
      </c>
      <c r="H248" s="41">
        <f t="shared" si="5"/>
        <v>846758.26</v>
      </c>
      <c r="I248" s="41">
        <f t="shared" si="5"/>
        <v>340033.06999999995</v>
      </c>
      <c r="J248" s="41">
        <f t="shared" si="5"/>
        <v>117109.75000000001</v>
      </c>
      <c r="K248" s="41">
        <f t="shared" si="5"/>
        <v>27859.510000000002</v>
      </c>
      <c r="L248" s="41">
        <f t="shared" si="5"/>
        <v>6561720.540000001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f>195480.67+30300</f>
        <v>225780.67</v>
      </c>
      <c r="J256" s="18"/>
      <c r="K256" s="18"/>
      <c r="L256" s="19">
        <f t="shared" si="6"/>
        <v>225780.67</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225780.67</v>
      </c>
      <c r="J257" s="41">
        <f t="shared" si="7"/>
        <v>0</v>
      </c>
      <c r="K257" s="41">
        <f t="shared" si="7"/>
        <v>0</v>
      </c>
      <c r="L257" s="41">
        <f>SUM(F257:K257)</f>
        <v>225780.67</v>
      </c>
      <c r="M257" s="8"/>
      <c r="N257" s="266"/>
    </row>
    <row r="258" spans="1:14" s="3" customFormat="1" ht="12.2" customHeight="1" thickTop="1" x14ac:dyDescent="0.15">
      <c r="A258" s="38" t="s">
        <v>462</v>
      </c>
      <c r="B258" s="40">
        <v>10</v>
      </c>
      <c r="C258" s="40">
        <v>8</v>
      </c>
      <c r="D258" s="39" t="s">
        <v>431</v>
      </c>
      <c r="E258" s="40"/>
      <c r="F258" s="41">
        <f t="shared" ref="F258:L258" si="8">F212+F230+F248+F257</f>
        <v>9387392.5500000007</v>
      </c>
      <c r="G258" s="41">
        <f t="shared" si="8"/>
        <v>4671886.1599999992</v>
      </c>
      <c r="H258" s="41">
        <f t="shared" si="8"/>
        <v>2502676.0099999998</v>
      </c>
      <c r="I258" s="41">
        <f t="shared" si="8"/>
        <v>1020350.22</v>
      </c>
      <c r="J258" s="41">
        <f t="shared" si="8"/>
        <v>354605.47000000003</v>
      </c>
      <c r="K258" s="41">
        <f t="shared" si="8"/>
        <v>63308.22</v>
      </c>
      <c r="L258" s="41">
        <f t="shared" si="8"/>
        <v>18000218.630000003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21248</v>
      </c>
      <c r="L261" s="19">
        <f>SUM(F261:K261)</f>
        <v>21248</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8015.14</v>
      </c>
      <c r="L262" s="19">
        <f>SUM(F262:K262)</f>
        <v>8015.14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29263.14</v>
      </c>
      <c r="L271" s="41">
        <f t="shared" si="9"/>
        <v>29263.14</v>
      </c>
      <c r="M271" s="8"/>
      <c r="N271" s="266"/>
    </row>
    <row r="272" spans="1:14" s="34" customFormat="1" ht="12.2" customHeight="1" thickTop="1" x14ac:dyDescent="0.2">
      <c r="A272" s="43" t="s">
        <v>464</v>
      </c>
      <c r="B272" s="40">
        <v>10</v>
      </c>
      <c r="C272" s="40">
        <v>18</v>
      </c>
      <c r="D272" s="39" t="s">
        <v>431</v>
      </c>
      <c r="E272" s="40"/>
      <c r="F272" s="42">
        <f t="shared" ref="F272:L272" si="11">F258+F271</f>
        <v>9387392.5500000007</v>
      </c>
      <c r="G272" s="42">
        <f t="shared" si="11"/>
        <v>4671886.1599999992</v>
      </c>
      <c r="H272" s="42">
        <f t="shared" si="11"/>
        <v>2502676.0099999998</v>
      </c>
      <c r="I272" s="42">
        <f t="shared" si="11"/>
        <v>1020350.22</v>
      </c>
      <c r="J272" s="42">
        <f t="shared" si="11"/>
        <v>354605.47000000003</v>
      </c>
      <c r="K272" s="42">
        <f t="shared" si="11"/>
        <v>92571.36</v>
      </c>
      <c r="L272" s="42">
        <f t="shared" si="11"/>
        <v>18029481.770000003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4430.36+44744.04</f>
        <v>49174.400000000001</v>
      </c>
      <c r="G277" s="18">
        <f>1085.98+28209.99</f>
        <v>29295.97</v>
      </c>
      <c r="H277" s="18">
        <f>18834.78</f>
        <v>18834.78</v>
      </c>
      <c r="I277" s="18">
        <f>101.75+1594.29</f>
        <v>1696.04</v>
      </c>
      <c r="J277" s="18">
        <f>3938.88</f>
        <v>3938.88</v>
      </c>
      <c r="K277" s="18"/>
      <c r="L277" s="19">
        <f>SUM(F277:K277)</f>
        <v>102940.06999999999</v>
      </c>
      <c r="M277" s="8"/>
      <c r="N277" s="266"/>
    </row>
    <row r="278" spans="1:14" s="3" customFormat="1" ht="12.2" customHeight="1" x14ac:dyDescent="0.15">
      <c r="A278" s="1" t="s">
        <v>439</v>
      </c>
      <c r="B278" s="2" t="s">
        <v>357</v>
      </c>
      <c r="C278" s="2" t="s">
        <v>291</v>
      </c>
      <c r="D278" s="2" t="s">
        <v>431</v>
      </c>
      <c r="E278" s="6">
        <v>1200</v>
      </c>
      <c r="F278" s="18">
        <f>102237.87+513572.63</f>
        <v>615810.5</v>
      </c>
      <c r="G278" s="18">
        <f>49463.25+177745.95</f>
        <v>227209.2</v>
      </c>
      <c r="H278" s="18">
        <f>7840+1073.61</f>
        <v>8913.61</v>
      </c>
      <c r="I278" s="18">
        <f>1112.28+328.79+32109.78</f>
        <v>33550.85</v>
      </c>
      <c r="J278" s="18">
        <f>1022.15+8244.3+2762.37</f>
        <v>12028.82</v>
      </c>
      <c r="K278" s="18">
        <f>8745+22340+2767.05</f>
        <v>33852.050000000003</v>
      </c>
      <c r="L278" s="19">
        <f>SUM(F278:K278)</f>
        <v>931365.02999999991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141529.23</f>
        <v>141529.23000000001</v>
      </c>
      <c r="G280" s="18">
        <f>11095.79</f>
        <v>11095.79</v>
      </c>
      <c r="H280" s="18">
        <f>42545.1</f>
        <v>42545.1</v>
      </c>
      <c r="I280" s="18">
        <f>2115.45+179.44</f>
        <v>2294.89</v>
      </c>
      <c r="J280" s="18"/>
      <c r="K280" s="18"/>
      <c r="L280" s="19">
        <f>SUM(F280:K280)</f>
        <v>197465.01000000004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5545.33</f>
        <v>5545.33</v>
      </c>
      <c r="G282" s="18">
        <f>42662.4+424.23</f>
        <v>43086.630000000005</v>
      </c>
      <c r="H282" s="18">
        <f>46601.14+1890</f>
        <v>48491.14</v>
      </c>
      <c r="I282" s="18">
        <f>48.36+2863.34</f>
        <v>2911.7000000000003</v>
      </c>
      <c r="J282" s="18"/>
      <c r="K282" s="18"/>
      <c r="L282" s="19">
        <f t="shared" ref="L282:L288" si="12">SUM(F282:K282)</f>
        <v>100034.8</v>
      </c>
      <c r="M282" s="8"/>
      <c r="N282" s="266"/>
    </row>
    <row r="283" spans="1:14" s="3" customFormat="1" ht="12.2" customHeight="1" x14ac:dyDescent="0.15">
      <c r="A283" s="1" t="s">
        <v>443</v>
      </c>
      <c r="B283" s="2" t="s">
        <v>357</v>
      </c>
      <c r="C283" s="2" t="s">
        <v>295</v>
      </c>
      <c r="D283" s="2" t="s">
        <v>431</v>
      </c>
      <c r="E283" s="6">
        <v>2200</v>
      </c>
      <c r="F283" s="18">
        <f>4655.06</f>
        <v>4655.0600000000004</v>
      </c>
      <c r="G283" s="18">
        <f>300.24+828.59</f>
        <v>1128.83</v>
      </c>
      <c r="H283" s="18">
        <f>12511.84+5769.72+3880+3143.94</f>
        <v>25305.5</v>
      </c>
      <c r="I283" s="18"/>
      <c r="J283" s="18"/>
      <c r="K283" s="18"/>
      <c r="L283" s="19">
        <f t="shared" si="12"/>
        <v>31089.39</v>
      </c>
      <c r="M283" s="8"/>
      <c r="N283" s="266"/>
    </row>
    <row r="284" spans="1:14" s="3" customFormat="1" ht="12.2" customHeight="1" x14ac:dyDescent="0.15">
      <c r="A284" s="1" t="s">
        <v>444</v>
      </c>
      <c r="B284" s="2" t="s">
        <v>357</v>
      </c>
      <c r="C284" s="2" t="s">
        <v>296</v>
      </c>
      <c r="D284" s="2" t="s">
        <v>431</v>
      </c>
      <c r="E284" s="6">
        <v>2300</v>
      </c>
      <c r="F284" s="18">
        <v>9968.7999999999993</v>
      </c>
      <c r="G284" s="18">
        <f>4258.46</f>
        <v>4258.46</v>
      </c>
      <c r="H284" s="18">
        <f>1549.76</f>
        <v>1549.76</v>
      </c>
      <c r="I284" s="18">
        <f>4899.05</f>
        <v>4899.05</v>
      </c>
      <c r="J284" s="18"/>
      <c r="K284" s="18"/>
      <c r="L284" s="19">
        <f t="shared" si="12"/>
        <v>20676.07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f>2068.8</f>
        <v>2068.8000000000002</v>
      </c>
      <c r="I288" s="18">
        <f>1185</f>
        <v>1185</v>
      </c>
      <c r="J288" s="18"/>
      <c r="K288" s="18"/>
      <c r="L288" s="19">
        <f t="shared" si="12"/>
        <v>3253.8</v>
      </c>
      <c r="M288" s="8"/>
      <c r="N288" s="266"/>
    </row>
    <row r="289" spans="1:14" s="3" customFormat="1" ht="12.2" customHeight="1" x14ac:dyDescent="0.15">
      <c r="A289" s="1" t="s">
        <v>449</v>
      </c>
      <c r="B289" s="2" t="s">
        <v>357</v>
      </c>
      <c r="C289" s="2" t="s">
        <v>343</v>
      </c>
      <c r="D289" s="2" t="s">
        <v>431</v>
      </c>
      <c r="E289" s="6">
        <v>2800</v>
      </c>
      <c r="F289" s="18"/>
      <c r="G289" s="18"/>
      <c r="H289" s="18">
        <f>395</f>
        <v>395</v>
      </c>
      <c r="I289" s="18"/>
      <c r="J289" s="18"/>
      <c r="K289" s="18"/>
      <c r="L289" s="19">
        <f>SUM(F289:K289)</f>
        <v>395</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826683.32000000007</v>
      </c>
      <c r="G291" s="42">
        <f t="shared" si="13"/>
        <v>316074.88000000006</v>
      </c>
      <c r="H291" s="42">
        <f t="shared" si="13"/>
        <v>148103.69</v>
      </c>
      <c r="I291" s="42">
        <f t="shared" si="13"/>
        <v>46537.53</v>
      </c>
      <c r="J291" s="42">
        <f t="shared" si="13"/>
        <v>15967.7</v>
      </c>
      <c r="K291" s="42">
        <f t="shared" si="13"/>
        <v>33852.050000000003</v>
      </c>
      <c r="L291" s="41">
        <f t="shared" si="13"/>
        <v>1387219.17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2315.87+2400</f>
        <v>4715.87</v>
      </c>
      <c r="G296" s="18">
        <f>567.67+610.8</f>
        <v>1178.4699999999998</v>
      </c>
      <c r="H296" s="18">
        <f>9845.46</f>
        <v>9845.4599999999991</v>
      </c>
      <c r="I296" s="18">
        <f>53.19+2684.43</f>
        <v>2737.62</v>
      </c>
      <c r="J296" s="18">
        <f>2058.96</f>
        <v>2058.96</v>
      </c>
      <c r="K296" s="18"/>
      <c r="L296" s="19">
        <f>SUM(F296:K296)</f>
        <v>20536.379999999997</v>
      </c>
      <c r="M296" s="8"/>
      <c r="N296" s="266"/>
    </row>
    <row r="297" spans="1:14" s="3" customFormat="1" ht="12.2" customHeight="1" x14ac:dyDescent="0.15">
      <c r="A297" s="1" t="s">
        <v>439</v>
      </c>
      <c r="B297" s="2" t="s">
        <v>358</v>
      </c>
      <c r="C297" s="2" t="s">
        <v>291</v>
      </c>
      <c r="D297" s="2" t="s">
        <v>431</v>
      </c>
      <c r="E297" s="6">
        <v>1200</v>
      </c>
      <c r="F297" s="18">
        <f>43816.23</f>
        <v>43816.23</v>
      </c>
      <c r="G297" s="18">
        <f>21198.53</f>
        <v>21198.53</v>
      </c>
      <c r="H297" s="18">
        <f>3360</f>
        <v>3360</v>
      </c>
      <c r="I297" s="18">
        <f>83.72+140.91</f>
        <v>224.63</v>
      </c>
      <c r="J297" s="18">
        <f>1183.88</f>
        <v>1183.8800000000001</v>
      </c>
      <c r="K297" s="18">
        <f>4571.25</f>
        <v>4571.25</v>
      </c>
      <c r="L297" s="19">
        <f>SUM(F297:K297)</f>
        <v>74354.520000000019</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f>37621.69</f>
        <v>37621.69</v>
      </c>
      <c r="G299" s="18">
        <f>2949.51</f>
        <v>2949.51</v>
      </c>
      <c r="H299" s="18">
        <f>11309.46</f>
        <v>11309.46</v>
      </c>
      <c r="I299" s="18">
        <f>562.33</f>
        <v>562.33000000000004</v>
      </c>
      <c r="J299" s="18"/>
      <c r="K299" s="18">
        <f>200</f>
        <v>200</v>
      </c>
      <c r="L299" s="19">
        <f>SUM(F299:K299)</f>
        <v>52642.990000000005</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2898.69+7000</f>
        <v>9898.69</v>
      </c>
      <c r="G301" s="18">
        <f>221.76+1276.88</f>
        <v>1498.64</v>
      </c>
      <c r="H301" s="18">
        <f>22300.8+24359.69+525+3750</f>
        <v>50935.49</v>
      </c>
      <c r="I301" s="18">
        <f>25.27+1496.75</f>
        <v>1522.02</v>
      </c>
      <c r="J301" s="18"/>
      <c r="K301" s="18"/>
      <c r="L301" s="19">
        <f t="shared" ref="L301:L307" si="14">SUM(F301:K301)</f>
        <v>63854.84</v>
      </c>
      <c r="M301" s="8"/>
      <c r="N301" s="266"/>
    </row>
    <row r="302" spans="1:14" s="3" customFormat="1" ht="12.2" customHeight="1" x14ac:dyDescent="0.15">
      <c r="A302" s="1" t="s">
        <v>443</v>
      </c>
      <c r="B302" s="2" t="s">
        <v>358</v>
      </c>
      <c r="C302" s="2" t="s">
        <v>295</v>
      </c>
      <c r="D302" s="2" t="s">
        <v>431</v>
      </c>
      <c r="E302" s="6">
        <v>2200</v>
      </c>
      <c r="F302" s="18"/>
      <c r="G302" s="18"/>
      <c r="H302" s="18">
        <f>6540.28+3015.99</f>
        <v>9556.27</v>
      </c>
      <c r="I302" s="18"/>
      <c r="J302" s="18"/>
      <c r="K302" s="18"/>
      <c r="L302" s="19">
        <f t="shared" si="14"/>
        <v>9556.27</v>
      </c>
      <c r="M302" s="8"/>
      <c r="N302" s="266"/>
    </row>
    <row r="303" spans="1:14" s="3" customFormat="1" ht="12.2" customHeight="1" x14ac:dyDescent="0.15">
      <c r="A303" s="1" t="s">
        <v>444</v>
      </c>
      <c r="B303" s="2" t="s">
        <v>358</v>
      </c>
      <c r="C303" s="2" t="s">
        <v>296</v>
      </c>
      <c r="D303" s="2" t="s">
        <v>431</v>
      </c>
      <c r="E303" s="6">
        <v>2300</v>
      </c>
      <c r="F303" s="18">
        <f>5210.96</f>
        <v>5210.96</v>
      </c>
      <c r="G303" s="18">
        <f>2226.01</f>
        <v>2226.0100000000002</v>
      </c>
      <c r="H303" s="18">
        <f>810.11</f>
        <v>810.11</v>
      </c>
      <c r="I303" s="18">
        <f>2560.86</f>
        <v>2560.86</v>
      </c>
      <c r="J303" s="18"/>
      <c r="K303" s="18"/>
      <c r="L303" s="19">
        <f t="shared" si="14"/>
        <v>10807.94</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f>549.94</f>
        <v>549.94000000000005</v>
      </c>
      <c r="G307" s="18"/>
      <c r="H307" s="18">
        <f>105</f>
        <v>105</v>
      </c>
      <c r="I307" s="18">
        <f>315</f>
        <v>315</v>
      </c>
      <c r="J307" s="18"/>
      <c r="K307" s="18"/>
      <c r="L307" s="19">
        <f t="shared" si="14"/>
        <v>969.94</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101813.38000000002</v>
      </c>
      <c r="G310" s="42">
        <f t="shared" si="15"/>
        <v>29051.160000000003</v>
      </c>
      <c r="H310" s="42">
        <f t="shared" si="15"/>
        <v>85921.790000000008</v>
      </c>
      <c r="I310" s="42">
        <f t="shared" si="15"/>
        <v>7922.4600000000009</v>
      </c>
      <c r="J310" s="42">
        <f t="shared" si="15"/>
        <v>3242.84</v>
      </c>
      <c r="K310" s="42">
        <f t="shared" si="15"/>
        <v>4771.25</v>
      </c>
      <c r="L310" s="41">
        <f t="shared" si="15"/>
        <v>232722.88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3322.77+10100</f>
        <v>13422.77</v>
      </c>
      <c r="G315" s="18">
        <f>814.49+1502.45</f>
        <v>2316.94</v>
      </c>
      <c r="H315" s="18">
        <f>14126.09</f>
        <v>14126.09</v>
      </c>
      <c r="I315" s="18">
        <f>76.31</f>
        <v>76.31</v>
      </c>
      <c r="J315" s="18">
        <f>2954.16</f>
        <v>2954.16</v>
      </c>
      <c r="K315" s="18"/>
      <c r="L315" s="19">
        <f>SUM(F315:K315)</f>
        <v>32896.270000000004</v>
      </c>
      <c r="M315" s="8"/>
      <c r="N315" s="266"/>
    </row>
    <row r="316" spans="1:14" s="3" customFormat="1" ht="12.2" customHeight="1" x14ac:dyDescent="0.15">
      <c r="A316" s="1" t="s">
        <v>439</v>
      </c>
      <c r="B316" s="2" t="s">
        <v>359</v>
      </c>
      <c r="C316" s="2" t="s">
        <v>291</v>
      </c>
      <c r="D316" s="2" t="s">
        <v>431</v>
      </c>
      <c r="E316" s="6">
        <v>1200</v>
      </c>
      <c r="F316" s="18">
        <f>62594.61</f>
        <v>62594.61</v>
      </c>
      <c r="G316" s="18">
        <f>30283.62</f>
        <v>30283.62</v>
      </c>
      <c r="H316" s="18">
        <f>4800+60000</f>
        <v>64800</v>
      </c>
      <c r="I316" s="18">
        <f>201.3</f>
        <v>201.3</v>
      </c>
      <c r="J316" s="18">
        <f>1691.25</f>
        <v>1691.25</v>
      </c>
      <c r="K316" s="18">
        <f>6558.75</f>
        <v>6558.75</v>
      </c>
      <c r="L316" s="19">
        <f>SUM(F316:K316)</f>
        <v>166129.52999999997</v>
      </c>
      <c r="M316" s="8"/>
      <c r="N316" s="266"/>
    </row>
    <row r="317" spans="1:14" s="3" customFormat="1" ht="12.2" customHeight="1" x14ac:dyDescent="0.15">
      <c r="A317" s="1" t="s">
        <v>440</v>
      </c>
      <c r="B317" s="2" t="s">
        <v>359</v>
      </c>
      <c r="C317" s="2" t="s">
        <v>292</v>
      </c>
      <c r="D317" s="2" t="s">
        <v>431</v>
      </c>
      <c r="E317" s="6">
        <v>1300</v>
      </c>
      <c r="F317" s="18">
        <f>687</f>
        <v>687</v>
      </c>
      <c r="G317" s="18">
        <f>174.85</f>
        <v>174.85</v>
      </c>
      <c r="H317" s="18">
        <f>2968.66+800+3834.34</f>
        <v>7603</v>
      </c>
      <c r="I317" s="18">
        <f>16424.59</f>
        <v>16424.59</v>
      </c>
      <c r="J317" s="18">
        <f>34936+11344.45</f>
        <v>46280.45</v>
      </c>
      <c r="K317" s="18">
        <f>3351.92+35</f>
        <v>3386.92</v>
      </c>
      <c r="L317" s="19">
        <f>SUM(F317:K317)</f>
        <v>74556.81</v>
      </c>
      <c r="M317" s="8"/>
      <c r="N317" s="266"/>
    </row>
    <row r="318" spans="1:14" s="3" customFormat="1" ht="12.2" customHeight="1" x14ac:dyDescent="0.15">
      <c r="A318" s="1" t="s">
        <v>441</v>
      </c>
      <c r="B318" s="2" t="s">
        <v>359</v>
      </c>
      <c r="C318" s="2" t="s">
        <v>293</v>
      </c>
      <c r="D318" s="2" t="s">
        <v>431</v>
      </c>
      <c r="E318" s="6">
        <v>1400</v>
      </c>
      <c r="F318" s="18"/>
      <c r="G318" s="18"/>
      <c r="H318" s="18"/>
      <c r="I318" s="18">
        <f>35.02</f>
        <v>35.020000000000003</v>
      </c>
      <c r="J318" s="18"/>
      <c r="K318" s="18"/>
      <c r="L318" s="19">
        <f>SUM(F318:K318)</f>
        <v>35.020000000000003</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4158.99+27745.75</f>
        <v>31904.739999999998</v>
      </c>
      <c r="G320" s="18">
        <f>318.18+2122.49</f>
        <v>2440.6699999999996</v>
      </c>
      <c r="H320" s="18">
        <f>31996.8+34950.85+1085</f>
        <v>68032.649999999994</v>
      </c>
      <c r="I320" s="18">
        <f>36.26+2147.5+229.98</f>
        <v>2413.7400000000002</v>
      </c>
      <c r="J320" s="18"/>
      <c r="K320" s="18"/>
      <c r="L320" s="19">
        <f t="shared" ref="L320:L326" si="16">SUM(F320:K320)</f>
        <v>104791.8</v>
      </c>
      <c r="M320" s="8"/>
      <c r="N320" s="266"/>
    </row>
    <row r="321" spans="1:14" s="3" customFormat="1" ht="12.2" customHeight="1" x14ac:dyDescent="0.15">
      <c r="A321" s="1" t="s">
        <v>443</v>
      </c>
      <c r="B321" s="2" t="s">
        <v>359</v>
      </c>
      <c r="C321" s="2" t="s">
        <v>295</v>
      </c>
      <c r="D321" s="2" t="s">
        <v>431</v>
      </c>
      <c r="E321" s="6">
        <v>2200</v>
      </c>
      <c r="F321" s="18"/>
      <c r="G321" s="18"/>
      <c r="H321" s="18">
        <f>9383.88+4327.29+2500</f>
        <v>16211.169999999998</v>
      </c>
      <c r="I321" s="18">
        <f>27701.96</f>
        <v>27701.96</v>
      </c>
      <c r="J321" s="18"/>
      <c r="K321" s="18"/>
      <c r="L321" s="19">
        <f t="shared" si="16"/>
        <v>43913.13</v>
      </c>
      <c r="M321" s="8"/>
      <c r="N321" s="266"/>
    </row>
    <row r="322" spans="1:14" s="3" customFormat="1" ht="12.2" customHeight="1" x14ac:dyDescent="0.15">
      <c r="A322" s="1" t="s">
        <v>444</v>
      </c>
      <c r="B322" s="2" t="s">
        <v>359</v>
      </c>
      <c r="C322" s="2" t="s">
        <v>296</v>
      </c>
      <c r="D322" s="2" t="s">
        <v>431</v>
      </c>
      <c r="E322" s="6">
        <v>2300</v>
      </c>
      <c r="F322" s="18">
        <f>7476.6</f>
        <v>7476.6</v>
      </c>
      <c r="G322" s="18">
        <f>3193.85</f>
        <v>3193.85</v>
      </c>
      <c r="H322" s="18">
        <f>1162.33</f>
        <v>1162.33</v>
      </c>
      <c r="I322" s="18">
        <f>3674.28</f>
        <v>3674.28</v>
      </c>
      <c r="J322" s="18"/>
      <c r="K322" s="18"/>
      <c r="L322" s="19">
        <f t="shared" si="16"/>
        <v>15507.060000000001</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116085.72</v>
      </c>
      <c r="G329" s="42">
        <f t="shared" si="17"/>
        <v>38409.929999999993</v>
      </c>
      <c r="H329" s="42">
        <f t="shared" si="17"/>
        <v>171935.23999999996</v>
      </c>
      <c r="I329" s="42">
        <f t="shared" si="17"/>
        <v>50527.199999999997</v>
      </c>
      <c r="J329" s="42">
        <f t="shared" si="17"/>
        <v>50925.86</v>
      </c>
      <c r="K329" s="42">
        <f t="shared" si="17"/>
        <v>9945.67</v>
      </c>
      <c r="L329" s="41">
        <f t="shared" si="17"/>
        <v>437829.62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f>51599.25</f>
        <v>51599.25</v>
      </c>
      <c r="I336" s="18">
        <f>2034.63</f>
        <v>2034.63</v>
      </c>
      <c r="J336" s="18"/>
      <c r="K336" s="18"/>
      <c r="L336" s="19">
        <f t="shared" si="18"/>
        <v>53633.88</v>
      </c>
      <c r="M336" s="8"/>
      <c r="N336" s="266"/>
    </row>
    <row r="337" spans="1:43" s="3" customFormat="1" ht="12.2" customHeight="1" thickBot="1" x14ac:dyDescent="0.2">
      <c r="A337" s="1" t="s">
        <v>584</v>
      </c>
      <c r="B337" s="6">
        <v>14</v>
      </c>
      <c r="C337" s="37">
        <v>5</v>
      </c>
      <c r="D337" s="2" t="s">
        <v>431</v>
      </c>
      <c r="E337" s="6">
        <v>4000</v>
      </c>
      <c r="F337" s="18"/>
      <c r="G337" s="18"/>
      <c r="H337" s="18">
        <v>124412.04</v>
      </c>
      <c r="I337" s="18"/>
      <c r="J337" s="18"/>
      <c r="K337" s="18"/>
      <c r="L337" s="19">
        <f t="shared" si="18"/>
        <v>124412.04</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176011.28999999998</v>
      </c>
      <c r="I338" s="41">
        <f t="shared" si="19"/>
        <v>2034.63</v>
      </c>
      <c r="J338" s="41">
        <f t="shared" si="19"/>
        <v>0</v>
      </c>
      <c r="K338" s="41">
        <f t="shared" si="19"/>
        <v>0</v>
      </c>
      <c r="L338" s="41">
        <f t="shared" si="18"/>
        <v>178045.91999999998</v>
      </c>
      <c r="M338" s="8"/>
      <c r="N338" s="266"/>
    </row>
    <row r="339" spans="1:43" s="3" customFormat="1" ht="12.2" customHeight="1" thickTop="1" x14ac:dyDescent="0.15">
      <c r="A339" s="38" t="s">
        <v>468</v>
      </c>
      <c r="B339" s="40">
        <v>14</v>
      </c>
      <c r="C339" s="40">
        <v>7</v>
      </c>
      <c r="D339" s="39" t="s">
        <v>431</v>
      </c>
      <c r="E339" s="40"/>
      <c r="F339" s="41">
        <f t="shared" ref="F339:L339" si="20">F291+F310+F329+F338</f>
        <v>1044582.42</v>
      </c>
      <c r="G339" s="41">
        <f t="shared" si="20"/>
        <v>383535.97000000003</v>
      </c>
      <c r="H339" s="41">
        <f t="shared" si="20"/>
        <v>581972.01</v>
      </c>
      <c r="I339" s="41">
        <f t="shared" si="20"/>
        <v>107021.82</v>
      </c>
      <c r="J339" s="41">
        <f t="shared" si="20"/>
        <v>70136.399999999994</v>
      </c>
      <c r="K339" s="41">
        <f t="shared" si="20"/>
        <v>48568.97</v>
      </c>
      <c r="L339" s="41">
        <f t="shared" si="20"/>
        <v>2235817.59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1044582.42</v>
      </c>
      <c r="G353" s="41">
        <f>G339</f>
        <v>383535.97000000003</v>
      </c>
      <c r="H353" s="41">
        <f>H339</f>
        <v>581972.01</v>
      </c>
      <c r="I353" s="41">
        <f>I339</f>
        <v>107021.82</v>
      </c>
      <c r="J353" s="41">
        <f>J339</f>
        <v>70136.399999999994</v>
      </c>
      <c r="K353" s="47">
        <f>K339+K352</f>
        <v>48568.97</v>
      </c>
      <c r="L353" s="41">
        <f>L339+L352</f>
        <v>2235817.59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159032.11+2995.92</f>
        <v>162028.03</v>
      </c>
      <c r="G359" s="18">
        <f>30579.21+228.69</f>
        <v>30807.899999999998</v>
      </c>
      <c r="H359" s="18">
        <f>6604.93+235.2</f>
        <v>6840.13</v>
      </c>
      <c r="I359" s="18">
        <f>133349.81</f>
        <v>133349.81</v>
      </c>
      <c r="J359" s="18">
        <f>1188.98</f>
        <v>1188.98</v>
      </c>
      <c r="K359" s="18">
        <f>759.87</f>
        <v>759.87</v>
      </c>
      <c r="L359" s="13">
        <f>SUM(F359:K359)</f>
        <v>334974.71999999997</v>
      </c>
      <c r="M359" s="8"/>
      <c r="N359" s="266"/>
    </row>
    <row r="360" spans="1:22" s="3" customFormat="1" ht="12.2" customHeight="1" x14ac:dyDescent="0.15">
      <c r="A360" s="1" t="s">
        <v>542</v>
      </c>
      <c r="B360" s="2" t="s">
        <v>366</v>
      </c>
      <c r="C360" s="6">
        <v>2</v>
      </c>
      <c r="D360" s="2" t="s">
        <v>431</v>
      </c>
      <c r="E360" s="6"/>
      <c r="F360" s="18">
        <f>51117.46</f>
        <v>51117.46</v>
      </c>
      <c r="G360" s="18">
        <f>9829.03</f>
        <v>9829.0300000000007</v>
      </c>
      <c r="H360" s="18">
        <f>3446.05+75.6</f>
        <v>3521.65</v>
      </c>
      <c r="I360" s="18">
        <f>69573.81</f>
        <v>69573.81</v>
      </c>
      <c r="J360" s="18">
        <f>620.34</f>
        <v>620.34</v>
      </c>
      <c r="K360" s="18">
        <f>396.46</f>
        <v>396.46</v>
      </c>
      <c r="L360" s="19">
        <f>SUM(F360:K360)</f>
        <v>135058.75</v>
      </c>
      <c r="M360" s="8"/>
      <c r="N360" s="266"/>
    </row>
    <row r="361" spans="1:22" s="3" customFormat="1" ht="12.2" customHeight="1" x14ac:dyDescent="0.15">
      <c r="A361" s="3" t="s">
        <v>543</v>
      </c>
      <c r="B361" s="2" t="s">
        <v>366</v>
      </c>
      <c r="C361" s="6">
        <v>3</v>
      </c>
      <c r="D361" s="2" t="s">
        <v>431</v>
      </c>
      <c r="E361" s="6"/>
      <c r="F361" s="18">
        <f>73836.33</f>
        <v>73836.33</v>
      </c>
      <c r="G361" s="18">
        <f>14197.5</f>
        <v>14197.5</v>
      </c>
      <c r="H361" s="18">
        <f>4307.56+109.2</f>
        <v>4416.76</v>
      </c>
      <c r="I361" s="18">
        <f>86967.27</f>
        <v>86967.27</v>
      </c>
      <c r="J361" s="18">
        <f>775.42</f>
        <v>775.42</v>
      </c>
      <c r="K361" s="18">
        <f>495.57</f>
        <v>495.57</v>
      </c>
      <c r="L361" s="19">
        <f>SUM(F361:K361)</f>
        <v>180688.85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286981.82</v>
      </c>
      <c r="G363" s="47">
        <f t="shared" si="22"/>
        <v>54834.43</v>
      </c>
      <c r="H363" s="47">
        <f t="shared" si="22"/>
        <v>14778.54</v>
      </c>
      <c r="I363" s="47">
        <f t="shared" si="22"/>
        <v>289890.89</v>
      </c>
      <c r="J363" s="47">
        <f t="shared" si="22"/>
        <v>2584.7400000000002</v>
      </c>
      <c r="K363" s="47">
        <f t="shared" si="22"/>
        <v>1651.8999999999999</v>
      </c>
      <c r="L363" s="47">
        <f t="shared" si="22"/>
        <v>650722.31999999995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116921.46</f>
        <v>116921.46</v>
      </c>
      <c r="G368" s="18">
        <f>61002.5</f>
        <v>61002.5</v>
      </c>
      <c r="H368" s="18">
        <f>76253.12</f>
        <v>76253.119999999995</v>
      </c>
      <c r="I368" s="56">
        <f>SUM(F368:H368)</f>
        <v>254177.08000000002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16428.35</f>
        <v>16428.349999999999</v>
      </c>
      <c r="G369" s="63">
        <f>8571.31</f>
        <v>8571.31</v>
      </c>
      <c r="H369" s="63">
        <f>10714.15</f>
        <v>10714.15</v>
      </c>
      <c r="I369" s="56">
        <f>SUM(F369:H369)</f>
        <v>35713.81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133349.81</v>
      </c>
      <c r="G370" s="47">
        <f>SUM(G368:G369)</f>
        <v>69573.81</v>
      </c>
      <c r="H370" s="47">
        <f>SUM(H368:H369)</f>
        <v>86967.26999999999</v>
      </c>
      <c r="I370" s="47">
        <f>SUM(I368:I369)</f>
        <v>289890.89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c r="G466" s="18">
        <v>35527.78</v>
      </c>
      <c r="H466" s="18">
        <v>67669.98</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18029481.77</v>
      </c>
      <c r="G469" s="18">
        <v>644787.86</v>
      </c>
      <c r="H469" s="18">
        <v>2235985.2899999996</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18029481.77</v>
      </c>
      <c r="G471" s="53">
        <f>SUM(G469:G470)</f>
        <v>644787.86</v>
      </c>
      <c r="H471" s="53">
        <f>SUM(H469:H470)</f>
        <v>2235985.2899999996</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18029481.770000003</v>
      </c>
      <c r="G473" s="18">
        <v>650722.31999999995</v>
      </c>
      <c r="H473" s="18">
        <v>2235817.59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v>2185</v>
      </c>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18029481.770000003</v>
      </c>
      <c r="G475" s="53">
        <f>SUM(G473:G474)</f>
        <v>650722.31999999995</v>
      </c>
      <c r="H475" s="53">
        <f>SUM(H473:H474)</f>
        <v>2238002.59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29593.320000000065</v>
      </c>
      <c r="H477" s="53">
        <f>(H466+H471)- H475</f>
        <v>65652.679999999702</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1644</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29</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357204.63</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2.85</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173817.33</v>
      </c>
      <c r="G496" s="18"/>
      <c r="H496" s="18"/>
      <c r="I496" s="18"/>
      <c r="J496" s="18"/>
      <c r="K496" s="53">
        <f>SUM(F496:J496)</f>
        <v>173817.33</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21248</v>
      </c>
      <c r="G498" s="18"/>
      <c r="H498" s="18"/>
      <c r="I498" s="18"/>
      <c r="J498" s="18"/>
      <c r="K498" s="53">
        <f t="shared" si="35"/>
        <v>21248</v>
      </c>
      <c r="L498" s="24" t="s">
        <v>288</v>
      </c>
      <c r="N498" s="265"/>
    </row>
    <row r="499" spans="1:14" s="52" customFormat="1" ht="12.2" customHeight="1" x14ac:dyDescent="0.2">
      <c r="A499" s="200" t="s">
        <v>622</v>
      </c>
      <c r="B499" s="201">
        <v>20</v>
      </c>
      <c r="C499" s="202">
        <v>9</v>
      </c>
      <c r="D499" s="203" t="s">
        <v>432</v>
      </c>
      <c r="E499" s="202"/>
      <c r="F499" s="204">
        <v>152569.32999999999</v>
      </c>
      <c r="G499" s="204"/>
      <c r="H499" s="204"/>
      <c r="I499" s="204"/>
      <c r="J499" s="204"/>
      <c r="K499" s="205">
        <f t="shared" si="35"/>
        <v>152569.32999999999</v>
      </c>
      <c r="L499" s="206" t="s">
        <v>288</v>
      </c>
      <c r="N499" s="265"/>
    </row>
    <row r="500" spans="1:14" s="52" customFormat="1" ht="12.2" customHeight="1" thickBot="1" x14ac:dyDescent="0.25">
      <c r="A500" s="22" t="s">
        <v>623</v>
      </c>
      <c r="B500" s="75">
        <v>20</v>
      </c>
      <c r="C500" s="115">
        <v>10</v>
      </c>
      <c r="D500" s="2" t="s">
        <v>432</v>
      </c>
      <c r="E500" s="115"/>
      <c r="F500" s="18">
        <v>22189.55</v>
      </c>
      <c r="G500" s="18"/>
      <c r="H500" s="18"/>
      <c r="I500" s="18"/>
      <c r="J500" s="18"/>
      <c r="K500" s="53">
        <f t="shared" si="35"/>
        <v>22189.55</v>
      </c>
      <c r="L500" s="24" t="s">
        <v>288</v>
      </c>
      <c r="N500" s="265"/>
    </row>
    <row r="501" spans="1:14" s="52" customFormat="1" ht="12.2" customHeight="1" thickTop="1" x14ac:dyDescent="0.2">
      <c r="A501" s="139" t="s">
        <v>624</v>
      </c>
      <c r="B501" s="44">
        <v>20</v>
      </c>
      <c r="C501" s="195">
        <v>11</v>
      </c>
      <c r="D501" s="39" t="s">
        <v>432</v>
      </c>
      <c r="E501" s="195"/>
      <c r="F501" s="42">
        <f>SUM(F499:F500)</f>
        <v>174758.87999999998</v>
      </c>
      <c r="G501" s="42">
        <f>SUM(G499:G500)</f>
        <v>0</v>
      </c>
      <c r="H501" s="42">
        <f>SUM(H499:H500)</f>
        <v>0</v>
      </c>
      <c r="I501" s="42">
        <f>SUM(I499:I500)</f>
        <v>0</v>
      </c>
      <c r="J501" s="42">
        <f>SUM(J499:J500)</f>
        <v>0</v>
      </c>
      <c r="K501" s="42">
        <f t="shared" si="35"/>
        <v>174758.87999999998</v>
      </c>
      <c r="L501" s="45" t="s">
        <v>288</v>
      </c>
      <c r="N501" s="265"/>
    </row>
    <row r="502" spans="1:14" s="52" customFormat="1" ht="12.2" customHeight="1" x14ac:dyDescent="0.2">
      <c r="A502" s="200" t="s">
        <v>651</v>
      </c>
      <c r="B502" s="201">
        <v>20</v>
      </c>
      <c r="C502" s="202">
        <v>12</v>
      </c>
      <c r="D502" s="203" t="s">
        <v>432</v>
      </c>
      <c r="E502" s="202"/>
      <c r="F502" s="204">
        <v>130325.33</v>
      </c>
      <c r="G502" s="204"/>
      <c r="H502" s="204"/>
      <c r="I502" s="204"/>
      <c r="J502" s="204"/>
      <c r="K502" s="205">
        <f t="shared" si="35"/>
        <v>130325.33</v>
      </c>
      <c r="L502" s="206" t="s">
        <v>288</v>
      </c>
      <c r="N502" s="265"/>
    </row>
    <row r="503" spans="1:14" s="52" customFormat="1" ht="12.2" customHeight="1" thickBot="1" x14ac:dyDescent="0.25">
      <c r="A503" s="22" t="s">
        <v>625</v>
      </c>
      <c r="B503" s="75">
        <v>20</v>
      </c>
      <c r="C503" s="115">
        <v>13</v>
      </c>
      <c r="D503" s="2" t="s">
        <v>432</v>
      </c>
      <c r="E503" s="115"/>
      <c r="F503" s="18">
        <v>15311.26</v>
      </c>
      <c r="G503" s="18"/>
      <c r="H503" s="18"/>
      <c r="I503" s="18"/>
      <c r="J503" s="18"/>
      <c r="K503" s="53">
        <f t="shared" si="35"/>
        <v>15311.26</v>
      </c>
      <c r="L503" s="24" t="s">
        <v>288</v>
      </c>
      <c r="N503" s="265"/>
    </row>
    <row r="504" spans="1:14" s="52" customFormat="1" ht="12.2" customHeight="1" thickTop="1" x14ac:dyDescent="0.2">
      <c r="A504" s="139" t="s">
        <v>626</v>
      </c>
      <c r="B504" s="44">
        <v>20</v>
      </c>
      <c r="C504" s="195">
        <v>14</v>
      </c>
      <c r="D504" s="39" t="s">
        <v>432</v>
      </c>
      <c r="E504" s="195"/>
      <c r="F504" s="42">
        <f>SUM(F502:F503)</f>
        <v>145636.59</v>
      </c>
      <c r="G504" s="42">
        <f>SUM(G502:G503)</f>
        <v>0</v>
      </c>
      <c r="H504" s="42">
        <f>SUM(H502:H503)</f>
        <v>0</v>
      </c>
      <c r="I504" s="42">
        <f>SUM(I502:I503)</f>
        <v>0</v>
      </c>
      <c r="J504" s="42">
        <f>SUM(J502:J503)</f>
        <v>0</v>
      </c>
      <c r="K504" s="42">
        <f t="shared" si="35"/>
        <v>145636.59</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31299.28+11056.85+705492.59+97030.73+102237.87</f>
        <v>947117.32</v>
      </c>
      <c r="G522" s="18">
        <f>845.89+5548.09+277009.79+45437.94+49463.25</f>
        <v>378304.95999999996</v>
      </c>
      <c r="H522" s="18">
        <f>31578.8+119830.87+5391.28+7840</f>
        <v>164640.94999999998</v>
      </c>
      <c r="I522" s="18">
        <f>231.02+1120.82+500.25+1112.28+328.79</f>
        <v>3293.16</v>
      </c>
      <c r="J522" s="18">
        <f>2762.37+2724</f>
        <v>5486.37</v>
      </c>
      <c r="K522" s="18"/>
      <c r="L522" s="88">
        <f>SUM(F522:K522)</f>
        <v>1498842.7599999998</v>
      </c>
      <c r="N522" s="265"/>
    </row>
    <row r="523" spans="1:14" s="52" customFormat="1" ht="12.2" customHeight="1" x14ac:dyDescent="0.2">
      <c r="A523" s="22" t="s">
        <v>634</v>
      </c>
      <c r="B523" s="105">
        <v>21</v>
      </c>
      <c r="C523" s="115">
        <v>2</v>
      </c>
      <c r="D523" s="2" t="s">
        <v>432</v>
      </c>
      <c r="E523" s="115"/>
      <c r="F523" s="18">
        <f>9128.96+4738.65+424287.47+43816.23</f>
        <v>481971.30999999994</v>
      </c>
      <c r="G523" s="18">
        <f>362.52+1618.19+190709.41+21198.53</f>
        <v>213888.65</v>
      </c>
      <c r="H523" s="18">
        <f>13533.78+391198.59+3360</f>
        <v>408092.37000000005</v>
      </c>
      <c r="I523" s="18">
        <f>67.38+494.57+83.72+140.91</f>
        <v>786.58</v>
      </c>
      <c r="J523" s="18">
        <f>1183.88</f>
        <v>1183.8800000000001</v>
      </c>
      <c r="K523" s="18"/>
      <c r="L523" s="88">
        <f>SUM(F523:K523)</f>
        <v>1105922.79</v>
      </c>
      <c r="N523" s="265"/>
    </row>
    <row r="524" spans="1:14" s="52" customFormat="1" ht="12.2" customHeight="1" thickBot="1" x14ac:dyDescent="0.25">
      <c r="A524" s="22" t="s">
        <v>635</v>
      </c>
      <c r="B524" s="105">
        <v>21</v>
      </c>
      <c r="C524" s="115">
        <v>3</v>
      </c>
      <c r="D524" s="2" t="s">
        <v>432</v>
      </c>
      <c r="E524" s="115"/>
      <c r="F524" s="18">
        <f>3042.99+6769.5+296156.39+62594.61</f>
        <v>368563.49</v>
      </c>
      <c r="G524" s="18">
        <f>517.89+539.4+77122.02+30283.62</f>
        <v>108462.93</v>
      </c>
      <c r="H524" s="18">
        <f>19333.97+361913.96+4800</f>
        <v>386047.93000000005</v>
      </c>
      <c r="I524" s="18">
        <f>22.46+922.96+201.3</f>
        <v>1146.72</v>
      </c>
      <c r="J524" s="18">
        <f>1691.25</f>
        <v>1691.25</v>
      </c>
      <c r="K524" s="18"/>
      <c r="L524" s="88">
        <f>SUM(F524:K524)</f>
        <v>865912.32000000007</v>
      </c>
      <c r="N524" s="265"/>
    </row>
    <row r="525" spans="1:14" s="52" customFormat="1" ht="12.2" customHeight="1" thickTop="1" x14ac:dyDescent="0.2">
      <c r="A525" s="139" t="s">
        <v>63</v>
      </c>
      <c r="B525" s="107">
        <v>21</v>
      </c>
      <c r="C525" s="195">
        <v>4</v>
      </c>
      <c r="D525" s="196" t="s">
        <v>432</v>
      </c>
      <c r="E525" s="195"/>
      <c r="F525" s="108">
        <f>SUM(F522:F524)</f>
        <v>1797652.1199999999</v>
      </c>
      <c r="G525" s="108">
        <f t="shared" ref="G525:L525" si="36">SUM(G522:G524)</f>
        <v>700656.54</v>
      </c>
      <c r="H525" s="108">
        <f t="shared" si="36"/>
        <v>958781.25000000012</v>
      </c>
      <c r="I525" s="108">
        <f t="shared" si="36"/>
        <v>5226.46</v>
      </c>
      <c r="J525" s="108">
        <f t="shared" si="36"/>
        <v>8361.5</v>
      </c>
      <c r="K525" s="108">
        <f t="shared" si="36"/>
        <v>0</v>
      </c>
      <c r="L525" s="89">
        <f t="shared" si="36"/>
        <v>3470677.87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79554.42+162231.96</f>
        <v>241786.38</v>
      </c>
      <c r="G527" s="18">
        <f>48297.17+72330.75</f>
        <v>120627.92</v>
      </c>
      <c r="H527" s="18">
        <f>22208.29+266071.72+11983.98+1890</f>
        <v>302153.98999999993</v>
      </c>
      <c r="I527" s="18">
        <f>2596.88+1321.91</f>
        <v>3918.79</v>
      </c>
      <c r="J527" s="18">
        <f>454.74+29.99</f>
        <v>484.73</v>
      </c>
      <c r="K527" s="18"/>
      <c r="L527" s="88">
        <f>SUM(F527:K527)</f>
        <v>668971.80999999994</v>
      </c>
      <c r="M527" s="8"/>
      <c r="N527" s="266"/>
    </row>
    <row r="528" spans="1:14" s="3" customFormat="1" ht="12.2" customHeight="1" x14ac:dyDescent="0.15">
      <c r="A528" s="22" t="s">
        <v>634</v>
      </c>
      <c r="B528" s="105">
        <v>21</v>
      </c>
      <c r="C528" s="115">
        <v>6</v>
      </c>
      <c r="D528" s="2" t="s">
        <v>432</v>
      </c>
      <c r="E528" s="115"/>
      <c r="F528" s="18">
        <f>22098.45+122439.22</f>
        <v>144537.67000000001</v>
      </c>
      <c r="G528" s="18">
        <f>13415.88+54589.24</f>
        <v>68005.119999999995</v>
      </c>
      <c r="H528" s="18">
        <f>16760.97+23650.82+902.02+19416.3+525+3750</f>
        <v>65005.11</v>
      </c>
      <c r="I528" s="18">
        <f>721.36+997.66</f>
        <v>1719.02</v>
      </c>
      <c r="J528" s="18">
        <f>343.2</f>
        <v>343.2</v>
      </c>
      <c r="K528" s="18"/>
      <c r="L528" s="88">
        <f>SUM(F528:K528)</f>
        <v>279610.12000000005</v>
      </c>
      <c r="M528" s="8"/>
      <c r="N528" s="266"/>
    </row>
    <row r="529" spans="1:14" s="3" customFormat="1" ht="12.2" customHeight="1" thickBot="1" x14ac:dyDescent="0.2">
      <c r="A529" s="22" t="s">
        <v>635</v>
      </c>
      <c r="B529" s="118">
        <v>21</v>
      </c>
      <c r="C529" s="118">
        <v>7</v>
      </c>
      <c r="D529" s="2" t="s">
        <v>432</v>
      </c>
      <c r="E529" s="118"/>
      <c r="F529" s="18">
        <f>45670.13+21426.86</f>
        <v>67096.989999999991</v>
      </c>
      <c r="G529" s="18">
        <f>27726.16+9553.12</f>
        <v>37279.279999999999</v>
      </c>
      <c r="H529" s="18">
        <f>2933.17+5912.71+1085</f>
        <v>9930.880000000001</v>
      </c>
      <c r="I529" s="18">
        <f>1490.81+174.59</f>
        <v>1665.3999999999999</v>
      </c>
      <c r="J529" s="18">
        <f>60.06</f>
        <v>60.06</v>
      </c>
      <c r="K529" s="18"/>
      <c r="L529" s="88">
        <f>SUM(F529:K529)</f>
        <v>116032.60999999999</v>
      </c>
      <c r="M529" s="8"/>
      <c r="N529" s="266"/>
    </row>
    <row r="530" spans="1:14" s="3" customFormat="1" ht="12.2" customHeight="1" thickTop="1" x14ac:dyDescent="0.15">
      <c r="A530" s="139" t="s">
        <v>65</v>
      </c>
      <c r="B530" s="107">
        <v>21</v>
      </c>
      <c r="C530" s="107">
        <v>8</v>
      </c>
      <c r="D530" s="158" t="s">
        <v>432</v>
      </c>
      <c r="E530" s="107"/>
      <c r="F530" s="89">
        <f>SUM(F527:F529)</f>
        <v>453421.04000000004</v>
      </c>
      <c r="G530" s="89">
        <f t="shared" ref="G530:L530" si="37">SUM(G527:G529)</f>
        <v>225912.31999999998</v>
      </c>
      <c r="H530" s="89">
        <f t="shared" si="37"/>
        <v>377089.97999999992</v>
      </c>
      <c r="I530" s="89">
        <f t="shared" si="37"/>
        <v>7303.2099999999991</v>
      </c>
      <c r="J530" s="89">
        <f t="shared" si="37"/>
        <v>887.99</v>
      </c>
      <c r="K530" s="89">
        <f t="shared" si="37"/>
        <v>0</v>
      </c>
      <c r="L530" s="89">
        <f t="shared" si="37"/>
        <v>1064614.54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63077.26</f>
        <v>63077.26</v>
      </c>
      <c r="G532" s="18">
        <f>15433.58</f>
        <v>15433.58</v>
      </c>
      <c r="H532" s="18">
        <f>19165.14</f>
        <v>19165.14</v>
      </c>
      <c r="I532" s="18">
        <f>3672.84</f>
        <v>3672.84</v>
      </c>
      <c r="J532" s="18">
        <f>2388.14</f>
        <v>2388.14</v>
      </c>
      <c r="K532" s="18">
        <f>406.7</f>
        <v>406.7</v>
      </c>
      <c r="L532" s="88">
        <f>SUM(F532:K532)</f>
        <v>104143.65999999999</v>
      </c>
      <c r="M532" s="8"/>
      <c r="N532" s="266"/>
    </row>
    <row r="533" spans="1:14" s="3" customFormat="1" ht="12.2" customHeight="1" x14ac:dyDescent="0.15">
      <c r="A533" s="22" t="s">
        <v>634</v>
      </c>
      <c r="B533" s="105">
        <v>21</v>
      </c>
      <c r="C533" s="105">
        <v>10</v>
      </c>
      <c r="D533" s="2" t="s">
        <v>432</v>
      </c>
      <c r="E533" s="105"/>
      <c r="F533" s="18">
        <f>27033.12</f>
        <v>27033.119999999999</v>
      </c>
      <c r="G533" s="18">
        <f>6614.4</f>
        <v>6614.4</v>
      </c>
      <c r="H533" s="18">
        <f>8213.64</f>
        <v>8213.64</v>
      </c>
      <c r="I533" s="18">
        <f>1071.25</f>
        <v>1071.25</v>
      </c>
      <c r="J533" s="18">
        <f>1023.49</f>
        <v>1023.49</v>
      </c>
      <c r="K533" s="18">
        <f>174.3</f>
        <v>174.3</v>
      </c>
      <c r="L533" s="88">
        <f>SUM(F533:K533)</f>
        <v>44130.2</v>
      </c>
      <c r="M533" s="8"/>
      <c r="N533" s="266"/>
    </row>
    <row r="534" spans="1:14" s="3" customFormat="1" ht="12.2" customHeight="1" thickBot="1" x14ac:dyDescent="0.2">
      <c r="A534" s="22" t="s">
        <v>635</v>
      </c>
      <c r="B534" s="105">
        <v>21</v>
      </c>
      <c r="C534" s="105">
        <v>11</v>
      </c>
      <c r="D534" s="2" t="s">
        <v>432</v>
      </c>
      <c r="E534" s="105"/>
      <c r="F534" s="18">
        <f>38618.74</f>
        <v>38618.74</v>
      </c>
      <c r="G534" s="18">
        <f>9449.14</f>
        <v>9449.14</v>
      </c>
      <c r="H534" s="18">
        <f>11733.77</f>
        <v>11733.77</v>
      </c>
      <c r="I534" s="18">
        <f>357.08</f>
        <v>357.08</v>
      </c>
      <c r="J534" s="18">
        <f>1462.13</f>
        <v>1462.13</v>
      </c>
      <c r="K534" s="18">
        <f>249</f>
        <v>249</v>
      </c>
      <c r="L534" s="88">
        <f>SUM(F534:K534)</f>
        <v>61869.859999999993</v>
      </c>
      <c r="M534" s="8"/>
      <c r="N534" s="266"/>
    </row>
    <row r="535" spans="1:14" s="3" customFormat="1" ht="12.2" customHeight="1" thickTop="1" x14ac:dyDescent="0.15">
      <c r="A535" s="139" t="s">
        <v>67</v>
      </c>
      <c r="B535" s="107">
        <v>21</v>
      </c>
      <c r="C535" s="107">
        <v>12</v>
      </c>
      <c r="D535" s="158" t="s">
        <v>432</v>
      </c>
      <c r="E535" s="107"/>
      <c r="F535" s="89">
        <f>SUM(F532:F534)</f>
        <v>128729.12</v>
      </c>
      <c r="G535" s="89">
        <f t="shared" ref="G535:L535" si="38">SUM(G532:G534)</f>
        <v>31497.119999999999</v>
      </c>
      <c r="H535" s="89">
        <f t="shared" si="38"/>
        <v>39112.550000000003</v>
      </c>
      <c r="I535" s="89">
        <f t="shared" si="38"/>
        <v>5101.17</v>
      </c>
      <c r="J535" s="89">
        <f t="shared" si="38"/>
        <v>4873.76</v>
      </c>
      <c r="K535" s="89">
        <f t="shared" si="38"/>
        <v>830</v>
      </c>
      <c r="L535" s="89">
        <f t="shared" si="38"/>
        <v>210143.71999999997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2224.67+159.25</f>
        <v>2383.92</v>
      </c>
      <c r="G542" s="18">
        <f>170.21</f>
        <v>170.21</v>
      </c>
      <c r="H542" s="18"/>
      <c r="I542" s="18"/>
      <c r="J542" s="18"/>
      <c r="K542" s="18"/>
      <c r="L542" s="88">
        <f>SUM(F542:K542)</f>
        <v>2554.13</v>
      </c>
      <c r="M542" s="8"/>
      <c r="N542" s="266"/>
    </row>
    <row r="543" spans="1:14" s="3" customFormat="1" ht="12.2" customHeight="1" x14ac:dyDescent="0.15">
      <c r="A543" s="22" t="s">
        <v>634</v>
      </c>
      <c r="B543" s="105">
        <v>21</v>
      </c>
      <c r="C543" s="105">
        <v>18</v>
      </c>
      <c r="D543" s="2" t="s">
        <v>432</v>
      </c>
      <c r="E543" s="105"/>
      <c r="F543" s="18">
        <f>648.86+12.16</f>
        <v>661.02</v>
      </c>
      <c r="G543" s="18">
        <f>49.64</f>
        <v>49.64</v>
      </c>
      <c r="H543" s="18"/>
      <c r="I543" s="18"/>
      <c r="J543" s="18"/>
      <c r="K543" s="18"/>
      <c r="L543" s="88">
        <f>SUM(F543:K543)</f>
        <v>710.66</v>
      </c>
      <c r="M543" s="8"/>
      <c r="N543" s="266"/>
    </row>
    <row r="544" spans="1:14" s="3" customFormat="1" ht="12.2" customHeight="1" thickBot="1" x14ac:dyDescent="0.2">
      <c r="A544" s="22" t="s">
        <v>635</v>
      </c>
      <c r="B544" s="105">
        <v>21</v>
      </c>
      <c r="C544" s="105">
        <v>19</v>
      </c>
      <c r="D544" s="2" t="s">
        <v>432</v>
      </c>
      <c r="E544" s="105"/>
      <c r="F544" s="18">
        <f>216.29</f>
        <v>216.29</v>
      </c>
      <c r="G544" s="18">
        <f>16.55</f>
        <v>16.55</v>
      </c>
      <c r="H544" s="18"/>
      <c r="I544" s="18"/>
      <c r="J544" s="18"/>
      <c r="K544" s="18"/>
      <c r="L544" s="88">
        <f>SUM(F544:K544)</f>
        <v>232.84</v>
      </c>
      <c r="M544" s="8"/>
      <c r="N544" s="266"/>
    </row>
    <row r="545" spans="1:14" s="3" customFormat="1" ht="12.2" customHeight="1" thickTop="1" thickBot="1" x14ac:dyDescent="0.2">
      <c r="A545" s="130" t="s">
        <v>71</v>
      </c>
      <c r="B545" s="191">
        <v>21</v>
      </c>
      <c r="C545" s="191">
        <v>20</v>
      </c>
      <c r="D545" s="192" t="s">
        <v>432</v>
      </c>
      <c r="E545" s="191"/>
      <c r="F545" s="193">
        <f>SUM(F542:F544)</f>
        <v>3261.23</v>
      </c>
      <c r="G545" s="193">
        <f t="shared" ref="G545:L545" si="40">SUM(G542:G544)</f>
        <v>236.40000000000003</v>
      </c>
      <c r="H545" s="193">
        <f t="shared" si="40"/>
        <v>0</v>
      </c>
      <c r="I545" s="193">
        <f t="shared" si="40"/>
        <v>0</v>
      </c>
      <c r="J545" s="193">
        <f t="shared" si="40"/>
        <v>0</v>
      </c>
      <c r="K545" s="193">
        <f t="shared" si="40"/>
        <v>0</v>
      </c>
      <c r="L545" s="193">
        <f t="shared" si="40"/>
        <v>3497.63</v>
      </c>
      <c r="M545" s="8"/>
      <c r="N545" s="266"/>
    </row>
    <row r="546" spans="1:14" s="3" customFormat="1" ht="12.2" customHeight="1" thickTop="1" x14ac:dyDescent="0.15">
      <c r="A546" s="98" t="s">
        <v>72</v>
      </c>
      <c r="B546" s="107">
        <v>21</v>
      </c>
      <c r="C546" s="107">
        <v>21</v>
      </c>
      <c r="D546" s="158" t="s">
        <v>432</v>
      </c>
      <c r="E546" s="107"/>
      <c r="F546" s="89">
        <f>F525+F530+F535+F540+F545</f>
        <v>2383063.5100000002</v>
      </c>
      <c r="G546" s="89">
        <f t="shared" ref="G546:L546" si="41">G525+G530+G535+G540+G545</f>
        <v>958302.38</v>
      </c>
      <c r="H546" s="89">
        <f t="shared" si="41"/>
        <v>1374983.78</v>
      </c>
      <c r="I546" s="89">
        <f t="shared" si="41"/>
        <v>17630.839999999997</v>
      </c>
      <c r="J546" s="89">
        <f t="shared" si="41"/>
        <v>14123.25</v>
      </c>
      <c r="K546" s="89">
        <f t="shared" si="41"/>
        <v>830</v>
      </c>
      <c r="L546" s="89">
        <f t="shared" si="41"/>
        <v>4748933.76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1498842.7599999998</v>
      </c>
      <c r="G550" s="87">
        <f>L527</f>
        <v>668971.80999999994</v>
      </c>
      <c r="H550" s="87">
        <f>L532</f>
        <v>104143.65999999999</v>
      </c>
      <c r="I550" s="87">
        <f>L537</f>
        <v>0</v>
      </c>
      <c r="J550" s="87">
        <f>L542</f>
        <v>2554.13</v>
      </c>
      <c r="K550" s="87">
        <f>SUM(F550:J550)</f>
        <v>2274512.36</v>
      </c>
      <c r="L550" s="24" t="s">
        <v>288</v>
      </c>
      <c r="M550" s="8"/>
      <c r="N550" s="266"/>
    </row>
    <row r="551" spans="1:14" s="3" customFormat="1" ht="12.2" customHeight="1" x14ac:dyDescent="0.15">
      <c r="A551" s="22" t="s">
        <v>634</v>
      </c>
      <c r="B551" s="75">
        <v>21</v>
      </c>
      <c r="C551" s="75">
        <v>23</v>
      </c>
      <c r="D551" s="2" t="s">
        <v>432</v>
      </c>
      <c r="E551" s="75"/>
      <c r="F551" s="87">
        <f>L523</f>
        <v>1105922.79</v>
      </c>
      <c r="G551" s="87">
        <f>L528</f>
        <v>279610.12000000005</v>
      </c>
      <c r="H551" s="87">
        <f>L533</f>
        <v>44130.2</v>
      </c>
      <c r="I551" s="87">
        <f>L538</f>
        <v>0</v>
      </c>
      <c r="J551" s="87">
        <f>L543</f>
        <v>710.66</v>
      </c>
      <c r="K551" s="87">
        <f>SUM(F551:J551)</f>
        <v>1430373.77</v>
      </c>
      <c r="L551" s="24" t="s">
        <v>288</v>
      </c>
      <c r="M551" s="8"/>
      <c r="N551" s="266"/>
    </row>
    <row r="552" spans="1:14" s="3" customFormat="1" ht="12.2" customHeight="1" thickBot="1" x14ac:dyDescent="0.2">
      <c r="A552" s="22" t="s">
        <v>635</v>
      </c>
      <c r="B552" s="75">
        <v>21</v>
      </c>
      <c r="C552" s="75">
        <v>24</v>
      </c>
      <c r="D552" s="2" t="s">
        <v>432</v>
      </c>
      <c r="E552" s="75"/>
      <c r="F552" s="87">
        <f>L524</f>
        <v>865912.32000000007</v>
      </c>
      <c r="G552" s="87">
        <f>L529</f>
        <v>116032.60999999999</v>
      </c>
      <c r="H552" s="87">
        <f>L534</f>
        <v>61869.859999999993</v>
      </c>
      <c r="I552" s="87">
        <f>L539</f>
        <v>0</v>
      </c>
      <c r="J552" s="87">
        <f>L544</f>
        <v>232.84</v>
      </c>
      <c r="K552" s="87">
        <f>SUM(F552:J552)</f>
        <v>1044047.63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3470677.87</v>
      </c>
      <c r="G553" s="89">
        <f t="shared" si="42"/>
        <v>1064614.54</v>
      </c>
      <c r="H553" s="89">
        <f t="shared" si="42"/>
        <v>210143.71999999997</v>
      </c>
      <c r="I553" s="89">
        <f t="shared" si="42"/>
        <v>0</v>
      </c>
      <c r="J553" s="89">
        <f t="shared" si="42"/>
        <v>3497.63</v>
      </c>
      <c r="K553" s="89">
        <f t="shared" si="42"/>
        <v>4748933.76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f>513572.63</f>
        <v>513572.63</v>
      </c>
      <c r="G558" s="18">
        <f>177745.95</f>
        <v>177745.95</v>
      </c>
      <c r="H558" s="18">
        <f>1073.61</f>
        <v>1073.6099999999999</v>
      </c>
      <c r="I558" s="18">
        <f>32109.78</f>
        <v>32109.78</v>
      </c>
      <c r="J558" s="18">
        <f>1022.15+8244.3</f>
        <v>9266.4499999999989</v>
      </c>
      <c r="K558" s="18">
        <f>2767.05</f>
        <v>2767.05</v>
      </c>
      <c r="L558" s="88">
        <f>SUM(F558:K558)</f>
        <v>736535.47000000009</v>
      </c>
      <c r="M558" s="8"/>
      <c r="N558" s="266"/>
    </row>
    <row r="559" spans="1:14" s="3" customFormat="1" ht="12.2" customHeight="1" x14ac:dyDescent="0.15">
      <c r="A559" s="22" t="s">
        <v>634</v>
      </c>
      <c r="B559" s="105">
        <v>22</v>
      </c>
      <c r="C559" s="115">
        <v>2</v>
      </c>
      <c r="D559" s="2" t="s">
        <v>432</v>
      </c>
      <c r="E559" s="115"/>
      <c r="F559" s="18">
        <f>43032.27</f>
        <v>43032.27</v>
      </c>
      <c r="G559" s="18">
        <f>15270.32</f>
        <v>15270.32</v>
      </c>
      <c r="H559" s="18"/>
      <c r="I559" s="18">
        <f>385.25</f>
        <v>385.25</v>
      </c>
      <c r="J559" s="18"/>
      <c r="K559" s="18"/>
      <c r="L559" s="88">
        <f>SUM(F559:K559)</f>
        <v>58687.839999999997</v>
      </c>
      <c r="M559" s="8"/>
      <c r="N559" s="266"/>
    </row>
    <row r="560" spans="1:14" s="3" customFormat="1" ht="12.2" customHeight="1" thickBot="1" x14ac:dyDescent="0.2">
      <c r="A560" s="22" t="s">
        <v>635</v>
      </c>
      <c r="B560" s="105">
        <v>22</v>
      </c>
      <c r="C560" s="115">
        <v>3</v>
      </c>
      <c r="D560" s="2" t="s">
        <v>432</v>
      </c>
      <c r="E560" s="115"/>
      <c r="F560" s="18"/>
      <c r="G560" s="18"/>
      <c r="H560" s="18">
        <f>18000+23980</f>
        <v>41980</v>
      </c>
      <c r="I560" s="18"/>
      <c r="J560" s="18"/>
      <c r="K560" s="18"/>
      <c r="L560" s="88">
        <f>SUM(F560:K560)</f>
        <v>41980</v>
      </c>
      <c r="M560" s="8"/>
      <c r="N560" s="266"/>
    </row>
    <row r="561" spans="1:14" s="3" customFormat="1" ht="12.2" customHeight="1" thickTop="1" x14ac:dyDescent="0.15">
      <c r="A561" s="139" t="s">
        <v>63</v>
      </c>
      <c r="B561" s="107">
        <v>22</v>
      </c>
      <c r="C561" s="195">
        <v>4</v>
      </c>
      <c r="D561" s="196" t="s">
        <v>432</v>
      </c>
      <c r="E561" s="195"/>
      <c r="F561" s="108">
        <f t="shared" ref="F561:L561" si="43">SUM(F558:F560)</f>
        <v>556604.9</v>
      </c>
      <c r="G561" s="108">
        <f t="shared" si="43"/>
        <v>193016.27000000002</v>
      </c>
      <c r="H561" s="108">
        <f t="shared" si="43"/>
        <v>43053.61</v>
      </c>
      <c r="I561" s="108">
        <f t="shared" si="43"/>
        <v>32495.03</v>
      </c>
      <c r="J561" s="108">
        <f t="shared" si="43"/>
        <v>9266.4499999999989</v>
      </c>
      <c r="K561" s="108">
        <f t="shared" si="43"/>
        <v>2767.05</v>
      </c>
      <c r="L561" s="89">
        <f t="shared" si="43"/>
        <v>837203.31</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556604.9</v>
      </c>
      <c r="G572" s="89">
        <f t="shared" ref="G572:L572" si="46">G561+G566+G571</f>
        <v>193016.27000000002</v>
      </c>
      <c r="H572" s="89">
        <f t="shared" si="46"/>
        <v>43053.61</v>
      </c>
      <c r="I572" s="89">
        <f t="shared" si="46"/>
        <v>32495.03</v>
      </c>
      <c r="J572" s="89">
        <f t="shared" si="46"/>
        <v>9266.4499999999989</v>
      </c>
      <c r="K572" s="89">
        <f t="shared" si="46"/>
        <v>2767.05</v>
      </c>
      <c r="L572" s="89">
        <f t="shared" si="46"/>
        <v>837203.31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1591.27</f>
        <v>1591.27</v>
      </c>
      <c r="I576" s="87">
        <f>SUM(F576:H576)</f>
        <v>1591.27</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2314.65</f>
        <v>2314.65</v>
      </c>
      <c r="G580" s="18">
        <f>19492.68</f>
        <v>19492.68</v>
      </c>
      <c r="H580" s="18"/>
      <c r="I580" s="87">
        <f t="shared" si="47"/>
        <v>21807.33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f>11990</f>
        <v>11990</v>
      </c>
      <c r="I582" s="87">
        <f t="shared" si="47"/>
        <v>11990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18632.58+98883.64+5391.28</f>
        <v>122907.5</v>
      </c>
      <c r="G583" s="18">
        <f>14838.07+356867.84</f>
        <v>371705.91000000003</v>
      </c>
      <c r="H583" s="18">
        <f>604.86+36434.1+313270.86</f>
        <v>350309.82</v>
      </c>
      <c r="I583" s="87">
        <f t="shared" si="47"/>
        <v>844923.23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200595.55+934.33</f>
        <v>201529.87999999998</v>
      </c>
      <c r="I592" s="18">
        <f>64807.79+329.48</f>
        <v>65137.270000000004</v>
      </c>
      <c r="J592" s="18">
        <f>43205.2+192.52</f>
        <v>43397.719999999994</v>
      </c>
      <c r="K592" s="104">
        <f t="shared" ref="K592:K598" si="48">SUM(H592:J592)</f>
        <v>310064.86999999994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f>2394.87</f>
        <v>2394.87</v>
      </c>
      <c r="I593" s="18">
        <f>698.51</f>
        <v>698.51</v>
      </c>
      <c r="J593" s="18">
        <f>232.84+171.41</f>
        <v>404.25</v>
      </c>
      <c r="K593" s="104">
        <f t="shared" si="48"/>
        <v>3497.63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f>1542.94</f>
        <v>1542.94</v>
      </c>
      <c r="I595" s="18">
        <f>3554.29</f>
        <v>3554.29</v>
      </c>
      <c r="J595" s="18">
        <f>14270.21</f>
        <v>14270.21</v>
      </c>
      <c r="K595" s="104">
        <f t="shared" si="48"/>
        <v>19367.439999999999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108.17</f>
        <v>108.17</v>
      </c>
      <c r="I596" s="18">
        <f>787.78</f>
        <v>787.78</v>
      </c>
      <c r="J596" s="18">
        <f>195.39</f>
        <v>195.39</v>
      </c>
      <c r="K596" s="104">
        <f t="shared" si="48"/>
        <v>1091.3399999999999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f>3151.09</f>
        <v>3151.09</v>
      </c>
      <c r="I598" s="18">
        <f>837.63</f>
        <v>837.63</v>
      </c>
      <c r="J598" s="18"/>
      <c r="K598" s="104">
        <f t="shared" si="48"/>
        <v>3988.7200000000003</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208726.94999999998</v>
      </c>
      <c r="I599" s="108">
        <f>SUM(I592:I598)</f>
        <v>71015.48</v>
      </c>
      <c r="J599" s="108">
        <f>SUM(J592:J598)</f>
        <v>58267.569999999992</v>
      </c>
      <c r="K599" s="108">
        <f>SUM(K592:K598)</f>
        <v>338009.99999999994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172970.32</v>
      </c>
      <c r="I605" s="18">
        <v>83345.539999999994</v>
      </c>
      <c r="J605" s="18">
        <v>168426.01</v>
      </c>
      <c r="K605" s="104">
        <f>SUM(H605:J605)</f>
        <v>424741.87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172970.32</v>
      </c>
      <c r="I606" s="108">
        <f>SUM(I603:I605)</f>
        <v>83345.539999999994</v>
      </c>
      <c r="J606" s="108">
        <f>SUM(J603:J605)</f>
        <v>168426.01</v>
      </c>
      <c r="K606" s="108">
        <f>SUM(K603:K605)</f>
        <v>424741.87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29593.32</v>
      </c>
      <c r="H619" s="109">
        <f>SUM(G52)</f>
        <v>29593.32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65652.679999999993</v>
      </c>
      <c r="H620" s="109">
        <f>SUM(H52)</f>
        <v>65652.679999999993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29593.32</v>
      </c>
      <c r="H624" s="109">
        <f>G477</f>
        <v>29593.320000000065</v>
      </c>
      <c r="I624" s="121" t="s">
        <v>102</v>
      </c>
      <c r="J624" s="109">
        <f t="shared" si="50"/>
        <v>-6.5483618527650833E-11</v>
      </c>
      <c r="K624" s="109"/>
      <c r="L624" s="109"/>
      <c r="M624" s="8"/>
    </row>
    <row r="625" spans="1:13" s="3" customFormat="1" ht="12.2" customHeight="1" x14ac:dyDescent="0.15">
      <c r="A625" s="97"/>
      <c r="B625" s="105"/>
      <c r="C625" s="105"/>
      <c r="D625" s="105"/>
      <c r="E625" s="105"/>
      <c r="F625" s="120" t="s">
        <v>867</v>
      </c>
      <c r="G625" s="109">
        <f>H51</f>
        <v>65652.679999999993</v>
      </c>
      <c r="H625" s="109">
        <f>H477</f>
        <v>65652.679999999702</v>
      </c>
      <c r="I625" s="121" t="s">
        <v>103</v>
      </c>
      <c r="J625" s="109">
        <f t="shared" si="50"/>
        <v>2.9103830456733704E-10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18029481.77</v>
      </c>
      <c r="H628" s="104">
        <f>SUM(F469)</f>
        <v>18029481.77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644787.86</v>
      </c>
      <c r="H629" s="104">
        <f>SUM(G469)</f>
        <v>644787.86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2235985.2899999996</v>
      </c>
      <c r="H630" s="104">
        <f>SUM(H469)</f>
        <v>2235985.2899999996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18029481.770000003</v>
      </c>
      <c r="H633" s="104">
        <f>SUM(F473)</f>
        <v>18029481.770000003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2235817.59</v>
      </c>
      <c r="H634" s="104">
        <f>SUM(H473)</f>
        <v>2235817.59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289890.89</v>
      </c>
      <c r="H635" s="104">
        <f>I370</f>
        <v>289890.89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650722.31999999995</v>
      </c>
      <c r="H636" s="104">
        <f>SUM(G473)</f>
        <v>650722.31999999995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338009.99999999994</v>
      </c>
      <c r="H648" s="104">
        <f>L209+L227+L245</f>
        <v>338010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424741.87</v>
      </c>
      <c r="H649" s="104">
        <f>(J258+J339)-(J256+J337)</f>
        <v>424741.87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208726.94999999998</v>
      </c>
      <c r="H650" s="104">
        <f>H599</f>
        <v>208726.94999999998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71015.48</v>
      </c>
      <c r="H651" s="104">
        <f>I599</f>
        <v>71015.48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58267.57</v>
      </c>
      <c r="H652" s="104">
        <f>J599</f>
        <v>58267.569999999992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8578746.8599999994</v>
      </c>
      <c r="G661" s="19">
        <f>(L230+L310+L360)</f>
        <v>4723946.08</v>
      </c>
      <c r="H661" s="19">
        <f>(L248+L329+L361)</f>
        <v>7180239.0100000007</v>
      </c>
      <c r="I661" s="19">
        <f>SUM(F661:H661)</f>
        <v>20482931.949999999</v>
      </c>
      <c r="J661" s="13"/>
      <c r="K661" s="13"/>
      <c r="L661" s="13"/>
      <c r="M661" s="9"/>
    </row>
    <row r="662" spans="1:13" s="3" customFormat="1" ht="12.2" customHeight="1" x14ac:dyDescent="0.2">
      <c r="A662" s="1" t="s">
        <v>127</v>
      </c>
      <c r="F662" s="19">
        <f>(L359/IF(SUM(L359:L361)=0,1,SUM(L359:L361))*(SUM(G97:G110)))</f>
        <v>63123.946860459931</v>
      </c>
      <c r="G662" s="19">
        <f>(L360/IF(SUM(L359:L361)=0,1,SUM(L359:L361))*(SUM(G97:G110)))</f>
        <v>25450.999281498447</v>
      </c>
      <c r="H662" s="19">
        <f>(L361/IF(SUM(L359:L361)=0,1,SUM(L359:L361))*(SUM(G97:G110)))</f>
        <v>34049.713858041636</v>
      </c>
      <c r="I662" s="19">
        <f>SUM(F662:H662)</f>
        <v>122624.66000000002</v>
      </c>
      <c r="J662"/>
      <c r="K662" s="13"/>
      <c r="L662" s="13"/>
      <c r="M662" s="8"/>
    </row>
    <row r="663" spans="1:13" s="3" customFormat="1" ht="12.2" customHeight="1" x14ac:dyDescent="0.2">
      <c r="A663" s="1" t="s">
        <v>128</v>
      </c>
      <c r="F663" s="19">
        <f>(L209+L288)-(J209+J288)</f>
        <v>206536.69999999998</v>
      </c>
      <c r="G663" s="19">
        <f>(L227+L307)-(J227+J307)</f>
        <v>70226.569999999992</v>
      </c>
      <c r="H663" s="19">
        <f>(L245+L326)-(J245+J326)</f>
        <v>57095</v>
      </c>
      <c r="I663" s="19">
        <f>SUM(F663:H663)</f>
        <v>333858.26999999996</v>
      </c>
      <c r="J663"/>
      <c r="K663" s="13"/>
      <c r="L663" s="13"/>
      <c r="M663" s="9"/>
    </row>
    <row r="664" spans="1:13" s="3" customFormat="1" ht="12.2" customHeight="1" x14ac:dyDescent="0.15">
      <c r="A664" s="198" t="s">
        <v>129</v>
      </c>
      <c r="B664" s="169"/>
      <c r="C664" s="169"/>
      <c r="D664" s="169"/>
      <c r="E664" s="169"/>
      <c r="F664" s="199">
        <f>SUM(F576:F588)+SUM(H603:H605)+SUM(L612)</f>
        <v>298192.46999999997</v>
      </c>
      <c r="G664" s="199">
        <f>SUM(G576:G588)+SUM(I603:I605)+L613</f>
        <v>474544.13</v>
      </c>
      <c r="H664" s="199">
        <f>SUM(H576:H588)+SUM(J603:J605)+L614</f>
        <v>532317.10000000009</v>
      </c>
      <c r="I664" s="19">
        <f>SUM(F664:H664)</f>
        <v>1305053.7000000002</v>
      </c>
      <c r="J664" s="13"/>
      <c r="K664" s="13"/>
      <c r="L664" s="13"/>
      <c r="M664" s="9"/>
    </row>
    <row r="665" spans="1:13" s="3" customFormat="1" ht="12.2" customHeight="1" x14ac:dyDescent="0.15">
      <c r="A665" s="1" t="s">
        <v>130</v>
      </c>
      <c r="F665" s="19">
        <f>F661-SUM(F662:F664)</f>
        <v>8010893.7431395398</v>
      </c>
      <c r="G665" s="19">
        <f>G661-SUM(G662:G664)</f>
        <v>4153724.3807185018</v>
      </c>
      <c r="H665" s="19">
        <f>H661-SUM(H662:H664)</f>
        <v>6556777.1961419592</v>
      </c>
      <c r="I665" s="19">
        <f>I661-SUM(I662:I664)</f>
        <v>18721395.32</v>
      </c>
      <c r="J665" s="13"/>
      <c r="K665" s="13"/>
      <c r="L665" s="13"/>
      <c r="M665" s="8"/>
    </row>
    <row r="666" spans="1:13" s="3" customFormat="1" ht="12.2" customHeight="1" x14ac:dyDescent="0.2">
      <c r="A666" s="1" t="s">
        <v>131</v>
      </c>
      <c r="F666" s="246">
        <f>17.39+69.42+389.22</f>
        <v>476.03000000000003</v>
      </c>
      <c r="G666" s="247">
        <v>250.6</v>
      </c>
      <c r="H666" s="247">
        <v>364.21</v>
      </c>
      <c r="I666" s="19">
        <f>SUM(F666:H666)</f>
        <v>1090.8399999999999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16828.55</v>
      </c>
      <c r="G668" s="19">
        <f>ROUND(G665/G666,2)</f>
        <v>16575.12</v>
      </c>
      <c r="H668" s="19">
        <f>ROUND(H665/H666,2)</f>
        <v>18002.740000000002</v>
      </c>
      <c r="I668" s="19">
        <f>ROUND(I665/I666,2)</f>
        <v>17162.37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7.11</v>
      </c>
      <c r="I671" s="19">
        <f>SUM(F671:H671)</f>
        <v>7.11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16828.55</v>
      </c>
      <c r="G673" s="19">
        <f>ROUND((G665+G670)/(G666+G671),2)</f>
        <v>16575.12</v>
      </c>
      <c r="H673" s="19">
        <f>ROUND((H665+H670)/(H666+H671),2)</f>
        <v>17658.02</v>
      </c>
      <c r="I673" s="19">
        <f>ROUND((I665+I670)/(I666+I671),2)</f>
        <v>17051.23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Berlin</v>
      </c>
      <c r="C5" s="344"/>
      <c r="D5" s="344"/>
      <c r="E5" s="344"/>
      <c r="F5" s="344"/>
    </row>
    <row r="8" spans="1:9" ht="18" x14ac:dyDescent="0.25">
      <c r="A8" s="323" t="s">
        <v>1591</v>
      </c>
      <c r="F8" s="330" t="s">
        <v>1609</v>
      </c>
    </row>
    <row r="9" spans="1:9" ht="15" x14ac:dyDescent="0.2">
      <c r="A9" s="321" t="s">
        <v>1592</v>
      </c>
      <c r="B9" s="324">
        <f>'DOE25'!G97</f>
        <v>122624.66</v>
      </c>
      <c r="F9" s="321" t="s">
        <v>1605</v>
      </c>
    </row>
    <row r="10" spans="1:9" ht="15" x14ac:dyDescent="0.2">
      <c r="A10" s="321" t="s">
        <v>1593</v>
      </c>
      <c r="B10" s="324">
        <f>'DOE25'!G112-'DOE25'!G97</f>
        <v>0</v>
      </c>
      <c r="F10" s="321" t="s">
        <v>1606</v>
      </c>
    </row>
    <row r="11" spans="1:9" ht="15" x14ac:dyDescent="0.2">
      <c r="A11" s="321" t="s">
        <v>1594</v>
      </c>
      <c r="B11" s="324">
        <f>'DOE25'!G140</f>
        <v>9078.26</v>
      </c>
      <c r="F11" s="321" t="s">
        <v>1607</v>
      </c>
    </row>
    <row r="12" spans="1:9" ht="15" x14ac:dyDescent="0.2">
      <c r="A12" s="321" t="s">
        <v>1595</v>
      </c>
      <c r="B12" s="324">
        <f>'DOE25'!G170</f>
        <v>513084.94</v>
      </c>
      <c r="F12" s="321" t="s">
        <v>1608</v>
      </c>
    </row>
    <row r="13" spans="1:9" ht="15" x14ac:dyDescent="0.2">
      <c r="A13" s="321" t="s">
        <v>1596</v>
      </c>
      <c r="B13" s="324">
        <f>'DOE25'!G193-'DOE25'!G180</f>
        <v>0</v>
      </c>
      <c r="F13" s="321" t="s">
        <v>1618</v>
      </c>
    </row>
    <row r="14" spans="1:9" ht="18" x14ac:dyDescent="0.25">
      <c r="A14" s="323" t="s">
        <v>732</v>
      </c>
      <c r="B14" s="325">
        <f>SUM(B9:B13)</f>
        <v>644787.86</v>
      </c>
    </row>
    <row r="16" spans="1:9" ht="18" x14ac:dyDescent="0.25">
      <c r="A16" s="323" t="s">
        <v>786</v>
      </c>
      <c r="F16" s="330" t="s">
        <v>1610</v>
      </c>
    </row>
    <row r="17" spans="1:6" ht="15" x14ac:dyDescent="0.2">
      <c r="A17" s="321" t="s">
        <v>1597</v>
      </c>
      <c r="B17" s="324">
        <f>'DOE25'!L363-'DOE25'!L362</f>
        <v>650722.31999999995</v>
      </c>
      <c r="F17" s="321" t="s">
        <v>1611</v>
      </c>
    </row>
    <row r="18" spans="1:6" ht="15" x14ac:dyDescent="0.2">
      <c r="A18" s="321" t="s">
        <v>1598</v>
      </c>
      <c r="B18" s="338"/>
      <c r="F18" s="330" t="s">
        <v>1637</v>
      </c>
    </row>
    <row r="19" spans="1:6" ht="18" x14ac:dyDescent="0.25">
      <c r="A19" s="323" t="s">
        <v>725</v>
      </c>
      <c r="B19" s="325">
        <f>SUM(B17:B18)</f>
        <v>650722.31999999995</v>
      </c>
    </row>
    <row r="21" spans="1:6" ht="18.75" thickBot="1" x14ac:dyDescent="0.3">
      <c r="A21" s="323" t="s">
        <v>1599</v>
      </c>
    </row>
    <row r="22" spans="1:6" ht="18.75" thickTop="1" x14ac:dyDescent="0.25">
      <c r="A22" s="323" t="s">
        <v>1600</v>
      </c>
      <c r="B22" s="329">
        <f>B14-B19</f>
        <v>-5934.4599999999627</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35527.78</v>
      </c>
      <c r="F31" s="321" t="s">
        <v>1615</v>
      </c>
    </row>
    <row r="33" spans="1:6" ht="15" x14ac:dyDescent="0.2">
      <c r="A33" s="321" t="s">
        <v>1641</v>
      </c>
      <c r="B33" s="324">
        <f>'DOE25'!G477</f>
        <v>29593.320000000065</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47" sqref="E4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Berlin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4470643.13</v>
      </c>
      <c r="C9" s="229">
        <f>'DOE25'!G198+'DOE25'!G216+'DOE25'!G234+'DOE25'!G277+'DOE25'!G296+'DOE25'!G315</f>
        <v>2429366.8700000006</v>
      </c>
    </row>
    <row r="10" spans="1:3" x14ac:dyDescent="0.2">
      <c r="A10" t="s">
        <v>775</v>
      </c>
      <c r="B10" s="240">
        <v>4246839.34</v>
      </c>
      <c r="C10" s="240">
        <v>2427509.1</v>
      </c>
    </row>
    <row r="11" spans="1:3" x14ac:dyDescent="0.2">
      <c r="A11" t="s">
        <v>776</v>
      </c>
      <c r="B11" s="240">
        <v>112532.68</v>
      </c>
      <c r="C11" s="240">
        <v>934.12</v>
      </c>
    </row>
    <row r="12" spans="1:3" x14ac:dyDescent="0.2">
      <c r="A12" t="s">
        <v>777</v>
      </c>
      <c r="B12" s="240">
        <v>111271.11</v>
      </c>
      <c r="C12" s="240">
        <v>923.65</v>
      </c>
    </row>
    <row r="13" spans="1:3" x14ac:dyDescent="0.2">
      <c r="A13" t="str">
        <f>IF(B9=B13,IF(C9=C13,"Check Total OK","Check Total Error"),"Check Total Error")</f>
        <v>Check Total OK</v>
      </c>
      <c r="B13" s="231">
        <f>SUM(B10:B12)</f>
        <v>4470643.13</v>
      </c>
      <c r="C13" s="231">
        <f>SUM(C10:C12)</f>
        <v>2429366.87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2356257.0199999996</v>
      </c>
      <c r="C18" s="229">
        <f>'DOE25'!G199+'DOE25'!G217+'DOE25'!G235+'DOE25'!G278+'DOE25'!G297+'DOE25'!G316</f>
        <v>907295.69000000006</v>
      </c>
    </row>
    <row r="19" spans="1:3" x14ac:dyDescent="0.2">
      <c r="A19" t="s">
        <v>775</v>
      </c>
      <c r="B19" s="240">
        <v>1297880.9099999999</v>
      </c>
      <c r="C19" s="240">
        <v>817215.37</v>
      </c>
    </row>
    <row r="20" spans="1:3" x14ac:dyDescent="0.2">
      <c r="A20" t="s">
        <v>776</v>
      </c>
      <c r="B20" s="240">
        <v>1035811.11</v>
      </c>
      <c r="C20" s="240">
        <v>86470.51</v>
      </c>
    </row>
    <row r="21" spans="1:3" x14ac:dyDescent="0.2">
      <c r="A21" t="s">
        <v>777</v>
      </c>
      <c r="B21" s="240">
        <v>22565</v>
      </c>
      <c r="C21" s="240">
        <v>3609.81</v>
      </c>
    </row>
    <row r="22" spans="1:3" x14ac:dyDescent="0.2">
      <c r="A22" t="str">
        <f>IF(B18=B22,IF(C18=C22,"Check Total OK","Check Total Error"),"Check Total Error")</f>
        <v>Check Total OK</v>
      </c>
      <c r="B22" s="231">
        <f>SUM(B19:B21)</f>
        <v>2356257.02</v>
      </c>
      <c r="C22" s="231">
        <f>SUM(C19:C21)</f>
        <v>907295.69000000006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510408.43</v>
      </c>
      <c r="C27" s="234">
        <f>'DOE25'!G200+'DOE25'!G218+'DOE25'!G236+'DOE25'!G279+'DOE25'!G298+'DOE25'!G317</f>
        <v>259467.65000000002</v>
      </c>
    </row>
    <row r="28" spans="1:3" x14ac:dyDescent="0.2">
      <c r="A28" t="s">
        <v>775</v>
      </c>
      <c r="B28" s="240">
        <v>493599.87</v>
      </c>
      <c r="C28" s="240">
        <v>258041.27</v>
      </c>
    </row>
    <row r="29" spans="1:3" x14ac:dyDescent="0.2">
      <c r="A29" t="s">
        <v>776</v>
      </c>
      <c r="B29" s="240">
        <v>16808.560000000001</v>
      </c>
      <c r="C29" s="240">
        <v>1426.38</v>
      </c>
    </row>
    <row r="30" spans="1:3" x14ac:dyDescent="0.2">
      <c r="A30" t="s">
        <v>777</v>
      </c>
      <c r="B30" s="240"/>
      <c r="C30" s="240"/>
    </row>
    <row r="31" spans="1:3" x14ac:dyDescent="0.2">
      <c r="A31" t="str">
        <f>IF(B27=B31,IF(C27=C31,"Check Total OK","Check Total Error"),"Check Total Error")</f>
        <v>Check Total OK</v>
      </c>
      <c r="B31" s="231">
        <f>SUM(B28:B30)</f>
        <v>510408.43</v>
      </c>
      <c r="C31" s="231">
        <f>SUM(C28:C30)</f>
        <v>259467.65</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356158.77999999997</v>
      </c>
      <c r="C36" s="235">
        <f>'DOE25'!G201+'DOE25'!G219+'DOE25'!G237+'DOE25'!G280+'DOE25'!G299+'DOE25'!G318</f>
        <v>48694.030000000006</v>
      </c>
    </row>
    <row r="37" spans="1:3" x14ac:dyDescent="0.2">
      <c r="A37" t="s">
        <v>775</v>
      </c>
      <c r="B37" s="240">
        <v>39199.53</v>
      </c>
      <c r="C37" s="240">
        <v>8705.75</v>
      </c>
    </row>
    <row r="38" spans="1:3" x14ac:dyDescent="0.2">
      <c r="A38" t="s">
        <v>776</v>
      </c>
      <c r="B38" s="240">
        <v>17908.330000000002</v>
      </c>
      <c r="C38" s="240">
        <v>1428.53</v>
      </c>
    </row>
    <row r="39" spans="1:3" x14ac:dyDescent="0.2">
      <c r="A39" t="s">
        <v>777</v>
      </c>
      <c r="B39" s="240">
        <v>299050.92</v>
      </c>
      <c r="C39" s="240">
        <v>38559.75</v>
      </c>
    </row>
    <row r="40" spans="1:3" x14ac:dyDescent="0.2">
      <c r="A40" t="str">
        <f>IF(B36=B40,IF(C36=C40,"Check Total OK","Check Total Error"),"Check Total Error")</f>
        <v>Check Total OK</v>
      </c>
      <c r="B40" s="231">
        <f>SUM(B37:B39)</f>
        <v>356158.77999999997</v>
      </c>
      <c r="C40" s="231">
        <f>SUM(C37:C39)</f>
        <v>48694.03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B1"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Berlin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11777039.469999999</v>
      </c>
      <c r="D5" s="20">
        <f>SUM('DOE25'!L198:L201)+SUM('DOE25'!L216:L219)+SUM('DOE25'!L234:L237)-F5-G5-H5</f>
        <v>11485734.43</v>
      </c>
      <c r="E5" s="243"/>
      <c r="F5" s="244"/>
      <c r="G5" s="53">
        <f>SUM('DOE25'!J198:J201)+SUM('DOE25'!J216:J219)+SUM('DOE25'!J234:J237)</f>
        <v>275310.42000000004</v>
      </c>
      <c r="H5" s="53">
        <f>SUM('DOE25'!K198:K201)+SUM('DOE25'!K216:K219)+SUM('DOE25'!K234:K237)</f>
        <v>15994.62</v>
      </c>
      <c r="I5" s="256"/>
    </row>
    <row r="6" spans="1:9" x14ac:dyDescent="0.2">
      <c r="A6" s="32">
        <v>2100</v>
      </c>
      <c r="B6" t="s">
        <v>796</v>
      </c>
      <c r="C6" s="276">
        <f t="shared" si="0"/>
        <v>1707798.0999999999</v>
      </c>
      <c r="D6" s="20">
        <f>'DOE25'!L203+'DOE25'!L221+'DOE25'!L239-F6-G6-H6</f>
        <v>1701581.8299999998</v>
      </c>
      <c r="E6" s="243"/>
      <c r="F6" s="244"/>
      <c r="G6" s="53">
        <f>'DOE25'!J203+'DOE25'!J221+'DOE25'!J239</f>
        <v>5299.32</v>
      </c>
      <c r="H6" s="53">
        <f>'DOE25'!K203+'DOE25'!K221+'DOE25'!K239</f>
        <v>916.95</v>
      </c>
      <c r="I6" s="256"/>
    </row>
    <row r="7" spans="1:9" x14ac:dyDescent="0.2">
      <c r="A7" s="32">
        <v>2200</v>
      </c>
      <c r="B7" t="s">
        <v>821</v>
      </c>
      <c r="C7" s="276">
        <f t="shared" si="0"/>
        <v>305808.41000000003</v>
      </c>
      <c r="D7" s="20">
        <f>'DOE25'!L204+'DOE25'!L222+'DOE25'!L240-F7-G7-H7</f>
        <v>296026.67000000004</v>
      </c>
      <c r="E7" s="243"/>
      <c r="F7" s="244"/>
      <c r="G7" s="53">
        <f>'DOE25'!J204+'DOE25'!J222+'DOE25'!J240</f>
        <v>4720.3</v>
      </c>
      <c r="H7" s="53">
        <f>'DOE25'!K204+'DOE25'!K222+'DOE25'!K240</f>
        <v>5061.4399999999996</v>
      </c>
      <c r="I7" s="256"/>
    </row>
    <row r="8" spans="1:9" x14ac:dyDescent="0.2">
      <c r="A8" s="32">
        <v>2300</v>
      </c>
      <c r="B8" t="s">
        <v>797</v>
      </c>
      <c r="C8" s="276">
        <f t="shared" si="0"/>
        <v>560680.74</v>
      </c>
      <c r="D8" s="243"/>
      <c r="E8" s="20">
        <f>'DOE25'!L205+'DOE25'!L223+'DOE25'!L241-F8-G8-H8-D9-D11</f>
        <v>520900.63999999996</v>
      </c>
      <c r="F8" s="244"/>
      <c r="G8" s="53">
        <f>'DOE25'!J205+'DOE25'!J223+'DOE25'!J241</f>
        <v>6714.84</v>
      </c>
      <c r="H8" s="53">
        <f>'DOE25'!K205+'DOE25'!K223+'DOE25'!K241</f>
        <v>33065.26</v>
      </c>
      <c r="I8" s="256"/>
    </row>
    <row r="9" spans="1:9" ht="14.25" x14ac:dyDescent="0.2">
      <c r="A9" s="32">
        <v>2310</v>
      </c>
      <c r="B9" s="185" t="s">
        <v>890</v>
      </c>
      <c r="C9" s="276">
        <f t="shared" si="0"/>
        <v>23882.06</v>
      </c>
      <c r="D9" s="244">
        <v>23882.06</v>
      </c>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265875.96000000002</v>
      </c>
      <c r="D11" s="244">
        <v>265875.96000000002</v>
      </c>
      <c r="E11" s="243"/>
      <c r="F11" s="253"/>
      <c r="G11" s="253"/>
      <c r="H11" s="253"/>
      <c r="I11" s="256"/>
    </row>
    <row r="12" spans="1:9" x14ac:dyDescent="0.2">
      <c r="A12" s="32">
        <v>2400</v>
      </c>
      <c r="B12" t="s">
        <v>711</v>
      </c>
      <c r="C12" s="276">
        <f t="shared" si="0"/>
        <v>1020714.95</v>
      </c>
      <c r="D12" s="20">
        <f>'DOE25'!L206+'DOE25'!L224+'DOE25'!L242-F12-G12-H12</f>
        <v>1003877.2</v>
      </c>
      <c r="E12" s="243"/>
      <c r="F12" s="244"/>
      <c r="G12" s="53">
        <f>'DOE25'!J206+'DOE25'!J224+'DOE25'!J242</f>
        <v>9418.75</v>
      </c>
      <c r="H12" s="53">
        <f>'DOE25'!K206+'DOE25'!K224+'DOE25'!K242</f>
        <v>7419</v>
      </c>
      <c r="I12" s="256"/>
    </row>
    <row r="13" spans="1:9" x14ac:dyDescent="0.2">
      <c r="A13" s="32">
        <v>2500</v>
      </c>
      <c r="B13" t="s">
        <v>798</v>
      </c>
      <c r="C13" s="276">
        <f t="shared" si="0"/>
        <v>291988.88</v>
      </c>
      <c r="D13" s="243"/>
      <c r="E13" s="20">
        <f>'DOE25'!L207+'DOE25'!L225+'DOE25'!L243-F13-G13-H13</f>
        <v>291559.88</v>
      </c>
      <c r="F13" s="244"/>
      <c r="G13" s="53">
        <f>'DOE25'!J207+'DOE25'!J225+'DOE25'!J243</f>
        <v>0</v>
      </c>
      <c r="H13" s="53">
        <f>'DOE25'!K207+'DOE25'!K225+'DOE25'!K243</f>
        <v>429</v>
      </c>
      <c r="I13" s="256"/>
    </row>
    <row r="14" spans="1:9" x14ac:dyDescent="0.2">
      <c r="A14" s="32">
        <v>2600</v>
      </c>
      <c r="B14" t="s">
        <v>819</v>
      </c>
      <c r="C14" s="276">
        <f t="shared" si="0"/>
        <v>1477947.22</v>
      </c>
      <c r="D14" s="20">
        <f>'DOE25'!L208+'DOE25'!L226+'DOE25'!L244-F14-G14-H14</f>
        <v>1433070.9</v>
      </c>
      <c r="E14" s="243"/>
      <c r="F14" s="244"/>
      <c r="G14" s="53">
        <f>'DOE25'!J208+'DOE25'!J226+'DOE25'!J244</f>
        <v>44766.37</v>
      </c>
      <c r="H14" s="53">
        <f>'DOE25'!K208+'DOE25'!K226+'DOE25'!K244</f>
        <v>109.95</v>
      </c>
      <c r="I14" s="256"/>
    </row>
    <row r="15" spans="1:9" x14ac:dyDescent="0.2">
      <c r="A15" s="32">
        <v>2700</v>
      </c>
      <c r="B15" t="s">
        <v>799</v>
      </c>
      <c r="C15" s="276">
        <f t="shared" si="0"/>
        <v>338010</v>
      </c>
      <c r="D15" s="20">
        <f>'DOE25'!L209+'DOE25'!L227+'DOE25'!L245-F15-G15-H15</f>
        <v>329322.53000000003</v>
      </c>
      <c r="E15" s="243"/>
      <c r="F15" s="244"/>
      <c r="G15" s="53">
        <f>'DOE25'!J209+'DOE25'!J227+'DOE25'!J245</f>
        <v>8375.4699999999993</v>
      </c>
      <c r="H15" s="53">
        <f>'DOE25'!K209+'DOE25'!K227+'DOE25'!K245</f>
        <v>312</v>
      </c>
      <c r="I15" s="256"/>
    </row>
    <row r="16" spans="1:9" x14ac:dyDescent="0.2">
      <c r="A16" s="32">
        <v>2800</v>
      </c>
      <c r="B16" t="s">
        <v>800</v>
      </c>
      <c r="C16" s="276">
        <f t="shared" si="0"/>
        <v>4692.17</v>
      </c>
      <c r="D16" s="243"/>
      <c r="E16" s="20">
        <f>'DOE25'!L210+'DOE25'!L228+'DOE25'!L246-F16-G16-H16</f>
        <v>4692.17</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350192.71</v>
      </c>
      <c r="D22" s="243"/>
      <c r="E22" s="243"/>
      <c r="F22" s="243"/>
      <c r="G22" s="53">
        <f>'DOE25'!L256+'DOE25'!L337</f>
        <v>350192.71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29263.14</v>
      </c>
      <c r="D25" s="243"/>
      <c r="E25" s="243"/>
      <c r="F25" s="255"/>
      <c r="G25" s="253"/>
      <c r="H25" s="253"/>
      <c r="I25" s="254">
        <f>'DOE25'!L261+'DOE25'!L262+'DOE25'!L342+'DOE25'!L343</f>
        <v>29263.14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396545.23999999993</v>
      </c>
      <c r="D29" s="284">
        <f>'DOE25'!L359+'DOE25'!L360+'DOE25'!L361-'DOE25'!I368-F29-G29-H29</f>
        <v>392308.59999999992</v>
      </c>
      <c r="E29" s="243"/>
      <c r="F29" s="244"/>
      <c r="G29" s="53">
        <f>'DOE25'!J359+'DOE25'!J360+'DOE25'!J361</f>
        <v>2584.7400000000002</v>
      </c>
      <c r="H29" s="53">
        <f>'DOE25'!K359+'DOE25'!K360+'DOE25'!K361</f>
        <v>1651.8999999999999</v>
      </c>
      <c r="I29" s="256"/>
    </row>
    <row r="30" spans="1:9" x14ac:dyDescent="0.2">
      <c r="A30" s="32"/>
      <c r="C30" s="277"/>
      <c r="D30" s="20"/>
      <c r="E30" s="281"/>
      <c r="F30" s="271"/>
      <c r="G30" s="53"/>
      <c r="H30" s="53"/>
      <c r="I30" s="256"/>
    </row>
    <row r="31" spans="1:9" x14ac:dyDescent="0.2">
      <c r="A31" s="32" t="s">
        <v>818</v>
      </c>
      <c r="B31" t="s">
        <v>817</v>
      </c>
      <c r="C31" s="276">
        <f>SUM(D31:I31)</f>
        <v>2111405.5499999998</v>
      </c>
      <c r="D31" s="20">
        <f>'DOE25'!L291+'DOE25'!L310+'DOE25'!L329+'DOE25'!L334+'DOE25'!L335+'DOE25'!L336-F31-G31-H31</f>
        <v>1992700.18</v>
      </c>
      <c r="E31" s="243"/>
      <c r="F31" s="244"/>
      <c r="G31" s="53">
        <f>'DOE25'!J291+'DOE25'!J310+'DOE25'!J329+'DOE25'!J334+'DOE25'!J335+'DOE25'!J336</f>
        <v>70136.399999999994</v>
      </c>
      <c r="H31" s="53">
        <f>'DOE25'!K291+'DOE25'!K310+'DOE25'!K329+'DOE25'!K334+'DOE25'!K335+'DOE25'!K336</f>
        <v>48568.97</v>
      </c>
      <c r="I31" s="256"/>
    </row>
    <row r="32" spans="1:9" ht="12" thickBot="1" x14ac:dyDescent="0.25">
      <c r="C32" s="277"/>
      <c r="G32" s="251"/>
      <c r="H32" s="251"/>
      <c r="I32" s="258"/>
    </row>
    <row r="33" spans="1:9" ht="12" thickTop="1" x14ac:dyDescent="0.2">
      <c r="B33" t="s">
        <v>809</v>
      </c>
      <c r="D33" s="245">
        <f t="shared" ref="D33:I33" si="1">SUM(D5:D31)</f>
        <v>18924380.359999999</v>
      </c>
      <c r="E33" s="245">
        <f t="shared" si="1"/>
        <v>817152.69000000006</v>
      </c>
      <c r="F33" s="245">
        <f t="shared" si="1"/>
        <v>0</v>
      </c>
      <c r="G33" s="245">
        <f t="shared" si="1"/>
        <v>777519.32000000007</v>
      </c>
      <c r="H33" s="245">
        <f t="shared" si="1"/>
        <v>113529.09</v>
      </c>
      <c r="I33" s="245">
        <f t="shared" si="1"/>
        <v>29263.14</v>
      </c>
    </row>
    <row r="35" spans="1:9" ht="12" thickBot="1" x14ac:dyDescent="0.25">
      <c r="B35" s="251" t="s">
        <v>831</v>
      </c>
      <c r="D35" s="252">
        <f>E33</f>
        <v>817152.69000000006</v>
      </c>
      <c r="E35" s="248"/>
    </row>
    <row r="36" spans="1:9" ht="12" thickTop="1" x14ac:dyDescent="0.2">
      <c r="B36" t="s">
        <v>810</v>
      </c>
      <c r="D36" s="20">
        <f>D33</f>
        <v>18924380.359999999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27" sqref="C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Berlin</v>
      </c>
      <c r="B2" s="126">
        <f>'DOE25'!B2</f>
        <v>51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8243772.1399999997</v>
      </c>
      <c r="G4" s="303">
        <f>'DOE25'!L212+'DOE25'!L291</f>
        <v>8243772.1399999997</v>
      </c>
      <c r="H4" s="337">
        <f>F4-G4</f>
        <v>0</v>
      </c>
      <c r="I4" s="309" t="str">
        <f>IF(H4=0,"","Does not match DOE25 page 7 and 11 Totals!!")</f>
        <v/>
      </c>
      <c r="N4"/>
    </row>
    <row r="5" spans="1:18" x14ac:dyDescent="0.2">
      <c r="A5" s="21" t="s">
        <v>1620</v>
      </c>
      <c r="B5" s="304">
        <f>IFERROR(VLOOKUP(A5,'School Tables'!$C$3:$D$365,2,FALSE),"")</f>
        <v>27035</v>
      </c>
      <c r="C5" s="297" t="str">
        <f>IFERROR(INDEX('School Tables'!$B$3:$B$365,MATCH('School Level Expenditures'!B5,'School Tables'!$D$3:$D$365,0)),"")</f>
        <v>Berlin</v>
      </c>
      <c r="D5" s="294">
        <v>6856552.9699999997</v>
      </c>
      <c r="E5" s="294">
        <v>1387219.17</v>
      </c>
      <c r="F5" s="312">
        <f>D5+E5</f>
        <v>8243772.1399999997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4588887.33</v>
      </c>
      <c r="G24" s="303">
        <f>'DOE25'!L230+'DOE25'!L310</f>
        <v>4588887.33</v>
      </c>
      <c r="H24" s="337">
        <f>F24-G24</f>
        <v>0</v>
      </c>
      <c r="I24" s="309" t="str">
        <f>IF(H24=0,"","Does not match DOE25 page 8 and 12 Totals!!")</f>
        <v/>
      </c>
      <c r="N24"/>
    </row>
    <row r="25" spans="1:14" x14ac:dyDescent="0.2">
      <c r="A25" s="21" t="s">
        <v>945</v>
      </c>
      <c r="B25" s="304">
        <f>IFERROR(VLOOKUP(A25,'School Tables'!$I$3:$J$80,2,FALSE),"")</f>
        <v>20045</v>
      </c>
      <c r="C25" s="297" t="str">
        <f t="array" ref="C25">IFERROR(INDEX('School Tables'!$H$3:$H$80,MATCH('School Level Expenditures'!B25,'School Tables'!$J$3:$J$80,0)),"")</f>
        <v>Berlin</v>
      </c>
      <c r="D25" s="294">
        <v>4356164.45</v>
      </c>
      <c r="E25" s="294">
        <v>232722.88</v>
      </c>
      <c r="F25" s="307">
        <f>D25+E25</f>
        <v>4588887.33</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6999550.1600000011</v>
      </c>
      <c r="G36" s="303">
        <f>'DOE25'!L248+'DOE25'!L329</f>
        <v>6999550.1600000011</v>
      </c>
      <c r="H36" s="337">
        <f>F36-G36</f>
        <v>0</v>
      </c>
      <c r="I36" s="309" t="str">
        <f>IF(H36=0,"","Does not match DOE25 page 9 and 13 Totals!!")</f>
        <v/>
      </c>
      <c r="N36"/>
    </row>
    <row r="37" spans="1:14" x14ac:dyDescent="0.2">
      <c r="A37" s="21" t="s">
        <v>946</v>
      </c>
      <c r="B37" s="304">
        <f>IFERROR(VLOOKUP(A37,'School Tables'!$O$3:$P$118,2,FALSE),"")</f>
        <v>20050</v>
      </c>
      <c r="C37" s="297" t="str">
        <f t="array" ref="C37">IFERROR(INDEX('School Tables'!$N$3:$N$118,MATCH('School Level Expenditures'!B37,'School Tables'!$P$3:$P$118,0)),"")</f>
        <v>Berlin</v>
      </c>
      <c r="D37" s="294">
        <v>6561720.540000001</v>
      </c>
      <c r="E37" s="294">
        <v>437829.62</v>
      </c>
      <c r="F37" s="307">
        <f>D37+E37</f>
        <v>6999550.1600000011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5" activePane="bottomLeft" state="frozen"/>
      <selection activeCell="F46" sqref="F46"/>
      <selection pane="bottomLeft" sqref="A1:G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Berlin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29593.32</v>
      </c>
      <c r="E8" s="95">
        <f>'DOE25'!H9</f>
        <v>65652.679999999993</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29593.32</v>
      </c>
      <c r="E18" s="41">
        <f>SUM(E8:E17)</f>
        <v>65652.679999999993</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29593.32</v>
      </c>
      <c r="E47" s="95">
        <f>'DOE25'!H48</f>
        <v>65652.679999999993</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29593.32</v>
      </c>
      <c r="E50" s="41">
        <f>SUM(E34:E49)</f>
        <v>65652.679999999993</v>
      </c>
      <c r="F50" s="41">
        <f>SUM(F34:F49)</f>
        <v>0</v>
      </c>
      <c r="G50" s="41">
        <f>SUM(G34:G49)</f>
        <v>0</v>
      </c>
      <c r="H50" s="124"/>
      <c r="I50" s="124"/>
    </row>
    <row r="51" spans="1:9" ht="12" thickTop="1" x14ac:dyDescent="0.2">
      <c r="A51" s="38" t="s">
        <v>885</v>
      </c>
      <c r="B51" s="2"/>
      <c r="C51" s="41">
        <f>C50+C31</f>
        <v>0</v>
      </c>
      <c r="D51" s="41">
        <f>D50+D31</f>
        <v>29593.32</v>
      </c>
      <c r="E51" s="41">
        <f>E50+E31</f>
        <v>65652.679999999993</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5235815.13</v>
      </c>
      <c r="D56" s="95">
        <f>'DOE25'!G60</f>
        <v>0</v>
      </c>
      <c r="E56" s="95">
        <f>'DOE25'!H60</f>
        <v>0</v>
      </c>
      <c r="F56" s="95">
        <f>'DOE25'!I60</f>
        <v>0</v>
      </c>
      <c r="G56" s="95">
        <f>'DOE25'!J60</f>
        <v>0</v>
      </c>
      <c r="H56"/>
      <c r="I56"/>
    </row>
    <row r="57" spans="1:9" x14ac:dyDescent="0.2">
      <c r="A57" s="1" t="s">
        <v>164</v>
      </c>
      <c r="B57" s="6" t="s">
        <v>165</v>
      </c>
      <c r="C57" s="95">
        <f>'DOE25'!F79</f>
        <v>1451211.3499999999</v>
      </c>
      <c r="D57" s="24" t="s">
        <v>288</v>
      </c>
      <c r="E57" s="95">
        <f>'DOE25'!H79</f>
        <v>0</v>
      </c>
      <c r="F57" s="24" t="s">
        <v>288</v>
      </c>
      <c r="G57" s="24" t="s">
        <v>288</v>
      </c>
      <c r="H57"/>
      <c r="I57"/>
    </row>
    <row r="58" spans="1:9" x14ac:dyDescent="0.2">
      <c r="A58" s="1" t="s">
        <v>166</v>
      </c>
      <c r="B58" s="6" t="s">
        <v>167</v>
      </c>
      <c r="C58" s="95">
        <f>'DOE25'!F94</f>
        <v>2618.7399999999998</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122624.66</v>
      </c>
      <c r="E60" s="24" t="s">
        <v>288</v>
      </c>
      <c r="F60" s="24" t="s">
        <v>288</v>
      </c>
      <c r="G60" s="24" t="s">
        <v>288</v>
      </c>
      <c r="H60"/>
      <c r="I60"/>
    </row>
    <row r="61" spans="1:9" ht="12" thickBot="1" x14ac:dyDescent="0.25">
      <c r="A61" s="1" t="s">
        <v>172</v>
      </c>
      <c r="B61" s="118" t="s">
        <v>173</v>
      </c>
      <c r="C61" s="95">
        <f>SUM('DOE25'!F98:F110)</f>
        <v>53503.63</v>
      </c>
      <c r="D61" s="95">
        <f>SUM('DOE25'!G98:G110)</f>
        <v>0</v>
      </c>
      <c r="E61" s="95">
        <f>SUM('DOE25'!H98:H110)</f>
        <v>98976.62</v>
      </c>
      <c r="F61" s="95">
        <f>SUM('DOE25'!I98:I110)</f>
        <v>0</v>
      </c>
      <c r="G61" s="95">
        <f>SUM('DOE25'!J98:J110)</f>
        <v>0</v>
      </c>
      <c r="H61"/>
      <c r="I61"/>
    </row>
    <row r="62" spans="1:9" ht="12.75" thickTop="1" thickBot="1" x14ac:dyDescent="0.25">
      <c r="A62" s="29" t="s">
        <v>174</v>
      </c>
      <c r="B62" s="6"/>
      <c r="C62" s="130">
        <f>SUM(C57:C61)</f>
        <v>1507333.7199999997</v>
      </c>
      <c r="D62" s="130">
        <f>SUM(D57:D61)</f>
        <v>122624.66</v>
      </c>
      <c r="E62" s="130">
        <f>SUM(E57:E61)</f>
        <v>98976.62</v>
      </c>
      <c r="F62" s="130">
        <f>SUM(F57:F61)</f>
        <v>0</v>
      </c>
      <c r="G62" s="130">
        <f>SUM(G57:G61)</f>
        <v>0</v>
      </c>
      <c r="H62"/>
      <c r="I62"/>
    </row>
    <row r="63" spans="1:9" ht="12" thickTop="1" x14ac:dyDescent="0.2">
      <c r="A63" s="29" t="s">
        <v>175</v>
      </c>
      <c r="B63" s="6"/>
      <c r="C63" s="22">
        <f>C56+C62</f>
        <v>6743148.8499999996</v>
      </c>
      <c r="D63" s="22">
        <f>D56+D62</f>
        <v>122624.66</v>
      </c>
      <c r="E63" s="22">
        <f>E56+E62</f>
        <v>98976.62</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10512585.949999999</v>
      </c>
      <c r="D66" s="24" t="s">
        <v>288</v>
      </c>
      <c r="E66" s="24" t="s">
        <v>288</v>
      </c>
      <c r="F66" s="24" t="s">
        <v>288</v>
      </c>
      <c r="G66" s="24" t="s">
        <v>288</v>
      </c>
      <c r="H66"/>
      <c r="I66"/>
    </row>
    <row r="67" spans="1:9" x14ac:dyDescent="0.2">
      <c r="A67" s="1" t="s">
        <v>770</v>
      </c>
      <c r="B67" s="6">
        <v>3112</v>
      </c>
      <c r="C67" s="95">
        <f>'DOE25'!F118</f>
        <v>602339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858.53</v>
      </c>
      <c r="D69" s="95">
        <f>'DOE25'!G120</f>
        <v>0</v>
      </c>
      <c r="E69" s="95">
        <f>'DOE25'!H120</f>
        <v>0</v>
      </c>
      <c r="F69" s="95">
        <f>'DOE25'!I120</f>
        <v>0</v>
      </c>
      <c r="G69" s="95">
        <f>'DOE25'!J120</f>
        <v>0</v>
      </c>
      <c r="H69"/>
      <c r="I69"/>
    </row>
    <row r="70" spans="1:9" ht="12" thickTop="1" x14ac:dyDescent="0.2">
      <c r="A70" s="29" t="s">
        <v>252</v>
      </c>
      <c r="B70" s="2"/>
      <c r="C70" s="139">
        <f>SUM(C66:C69)</f>
        <v>11115783.479999999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72201.05</v>
      </c>
      <c r="D76" s="24" t="s">
        <v>288</v>
      </c>
      <c r="E76" s="95">
        <f>SUM('DOE25'!H127:H130)</f>
        <v>6732.85</v>
      </c>
      <c r="F76" s="95">
        <f>SUM('DOE25'!I127:I130)</f>
        <v>0</v>
      </c>
      <c r="G76" s="24" t="s">
        <v>288</v>
      </c>
      <c r="H76"/>
      <c r="I76"/>
    </row>
    <row r="77" spans="1:9" ht="12" thickBot="1" x14ac:dyDescent="0.25">
      <c r="A77" s="1" t="s">
        <v>258</v>
      </c>
      <c r="B77" s="6" t="s">
        <v>180</v>
      </c>
      <c r="C77" s="95">
        <f>SUM('DOE25'!F131:F135)</f>
        <v>0</v>
      </c>
      <c r="D77" s="95">
        <f>SUM('DOE25'!G131:G135)</f>
        <v>9078.26</v>
      </c>
      <c r="E77" s="95">
        <f>SUM('DOE25'!H131:H135)</f>
        <v>124412.04</v>
      </c>
      <c r="F77" s="95">
        <f>SUM('DOE25'!I131:I135)</f>
        <v>0</v>
      </c>
      <c r="G77" s="95">
        <f>SUM('DOE25'!J131:J135)</f>
        <v>0</v>
      </c>
      <c r="H77"/>
      <c r="I77"/>
    </row>
    <row r="78" spans="1:9" ht="12.75" thickTop="1" thickBot="1" x14ac:dyDescent="0.25">
      <c r="A78" s="29" t="s">
        <v>259</v>
      </c>
      <c r="B78" s="6"/>
      <c r="C78" s="130">
        <f>SUM(C72:C77)</f>
        <v>72201.05</v>
      </c>
      <c r="D78" s="130">
        <f>SUM(D72:D77)</f>
        <v>9078.26</v>
      </c>
      <c r="E78" s="130">
        <f>SUM(E72:E77)</f>
        <v>131144.88999999998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11187984.529999999</v>
      </c>
      <c r="D81" s="130">
        <f>SUM(D79:D80)+D78+D70</f>
        <v>9078.26</v>
      </c>
      <c r="E81" s="130">
        <f>SUM(E79:E80)+E78+E70</f>
        <v>131144.88999999998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56541.63</v>
      </c>
      <c r="D88" s="341">
        <f>SUM('DOE25'!G153:G162)</f>
        <v>513084.94</v>
      </c>
      <c r="E88" s="341">
        <f>SUM('DOE25'!H153:H162)</f>
        <v>1997586.9</v>
      </c>
      <c r="F88" s="341">
        <f>SUM('DOE25'!I153:I162)</f>
        <v>0</v>
      </c>
      <c r="G88" s="24" t="s">
        <v>288</v>
      </c>
    </row>
    <row r="89" spans="1:9" x14ac:dyDescent="0.2">
      <c r="A89" t="s">
        <v>748</v>
      </c>
      <c r="B89" s="32" t="s">
        <v>185</v>
      </c>
      <c r="C89" s="95">
        <f>'DOE25'!F164+'DOE25'!F167+'DOE25'!F169</f>
        <v>0</v>
      </c>
      <c r="D89" s="95">
        <f>'DOE25'!G164+'DOE25'!G169</f>
        <v>0</v>
      </c>
      <c r="E89" s="95">
        <f>'DOE25'!H164+'DOE25'!H169</f>
        <v>8276.8799999999992</v>
      </c>
      <c r="F89" s="95">
        <f>'DOE25'!I164</f>
        <v>0</v>
      </c>
      <c r="G89" s="24" t="s">
        <v>288</v>
      </c>
    </row>
    <row r="90" spans="1:9" ht="12" thickBot="1" x14ac:dyDescent="0.25">
      <c r="A90" t="s">
        <v>749</v>
      </c>
      <c r="B90" s="32">
        <v>4810</v>
      </c>
      <c r="C90" s="95">
        <f>'DOE25'!F166</f>
        <v>12543.62</v>
      </c>
      <c r="D90" s="24" t="s">
        <v>288</v>
      </c>
      <c r="E90" s="24" t="s">
        <v>288</v>
      </c>
      <c r="F90" s="24" t="s">
        <v>288</v>
      </c>
      <c r="G90" s="24" t="s">
        <v>288</v>
      </c>
    </row>
    <row r="91" spans="1:9" ht="12.75" thickTop="1" thickBot="1" x14ac:dyDescent="0.25">
      <c r="A91" s="33" t="s">
        <v>750</v>
      </c>
      <c r="C91" s="131">
        <f>SUM(C85:C90)</f>
        <v>69085.25</v>
      </c>
      <c r="D91" s="131">
        <f>SUM(D85:D90)</f>
        <v>513084.94</v>
      </c>
      <c r="E91" s="131">
        <f>SUM(E85:E90)</f>
        <v>2005863.7799999998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29263.14</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29263.14</v>
      </c>
      <c r="D103" s="86">
        <f>SUM(D93:D102)</f>
        <v>0</v>
      </c>
      <c r="E103" s="86">
        <f>SUM(E93:E102)</f>
        <v>0</v>
      </c>
      <c r="F103" s="86">
        <f>SUM(F93:F102)</f>
        <v>0</v>
      </c>
      <c r="G103" s="86">
        <f>SUM(G93:G102)</f>
        <v>0</v>
      </c>
    </row>
    <row r="104" spans="1:7" ht="12.75" thickTop="1" thickBot="1" x14ac:dyDescent="0.25">
      <c r="A104" s="33" t="s">
        <v>761</v>
      </c>
      <c r="C104" s="86">
        <f>C63+C81+C91+C103</f>
        <v>18029481.77</v>
      </c>
      <c r="D104" s="86">
        <f>D63+D81+D91+D103</f>
        <v>644787.86</v>
      </c>
      <c r="E104" s="86">
        <f>E63+E81+E91+E103</f>
        <v>2235985.2899999996</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7352913.5600000005</v>
      </c>
      <c r="D109" s="24" t="s">
        <v>288</v>
      </c>
      <c r="E109" s="95">
        <f>('DOE25'!L277)+('DOE25'!L296)+('DOE25'!L315)</f>
        <v>156372.71999999997</v>
      </c>
      <c r="F109" s="24" t="s">
        <v>288</v>
      </c>
      <c r="G109" s="24" t="s">
        <v>288</v>
      </c>
    </row>
    <row r="110" spans="1:7" x14ac:dyDescent="0.2">
      <c r="A110" t="s">
        <v>198</v>
      </c>
      <c r="B110" s="32" t="s">
        <v>199</v>
      </c>
      <c r="C110" s="95">
        <f>('DOE25'!L199)+('DOE25'!L217)+('DOE25'!L235)</f>
        <v>3257800.94</v>
      </c>
      <c r="D110" s="24" t="s">
        <v>288</v>
      </c>
      <c r="E110" s="95">
        <f>('DOE25'!L278)+('DOE25'!L297)+('DOE25'!L316)</f>
        <v>1171849.0799999998</v>
      </c>
      <c r="F110" s="24" t="s">
        <v>288</v>
      </c>
      <c r="G110" s="24" t="s">
        <v>288</v>
      </c>
    </row>
    <row r="111" spans="1:7" x14ac:dyDescent="0.2">
      <c r="A111" t="s">
        <v>200</v>
      </c>
      <c r="B111" s="32" t="s">
        <v>165</v>
      </c>
      <c r="C111" s="95">
        <f>('DOE25'!L200)+('DOE25'!L218)+('DOE25'!L236)</f>
        <v>818160.46000000008</v>
      </c>
      <c r="D111" s="24" t="s">
        <v>288</v>
      </c>
      <c r="E111" s="95">
        <f>('DOE25'!L279)+('DOE25'!L298)+('DOE25'!L317)</f>
        <v>74556.81</v>
      </c>
      <c r="F111" s="24" t="s">
        <v>288</v>
      </c>
      <c r="G111" s="24" t="s">
        <v>288</v>
      </c>
    </row>
    <row r="112" spans="1:7" x14ac:dyDescent="0.2">
      <c r="A112" t="s">
        <v>201</v>
      </c>
      <c r="B112" s="32" t="s">
        <v>167</v>
      </c>
      <c r="C112" s="95">
        <f>('DOE25'!L201)+('DOE25'!L219)+('DOE25'!L237)</f>
        <v>348164.51</v>
      </c>
      <c r="D112" s="24" t="s">
        <v>288</v>
      </c>
      <c r="E112" s="95">
        <f>+('DOE25'!L280)+('DOE25'!L299)+('DOE25'!L318)</f>
        <v>250143.02000000005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53633.88</v>
      </c>
      <c r="F114" s="24" t="s">
        <v>288</v>
      </c>
      <c r="G114" s="24" t="s">
        <v>288</v>
      </c>
    </row>
    <row r="115" spans="1:7" ht="12.75" thickTop="1" thickBot="1" x14ac:dyDescent="0.25">
      <c r="A115" s="33" t="s">
        <v>205</v>
      </c>
      <c r="C115" s="86">
        <f>SUM(C109:C114)</f>
        <v>11777039.470000001</v>
      </c>
      <c r="D115" s="86">
        <f>SUM(D109:D114)</f>
        <v>0</v>
      </c>
      <c r="E115" s="86">
        <f>SUM(E109:E114)</f>
        <v>1706555.5099999998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1707798.0999999999</v>
      </c>
      <c r="D118" s="24" t="s">
        <v>288</v>
      </c>
      <c r="E118" s="95">
        <f>+('DOE25'!L282)+('DOE25'!L301)+('DOE25'!L320)</f>
        <v>268681.44</v>
      </c>
      <c r="F118" s="24" t="s">
        <v>288</v>
      </c>
      <c r="G118" s="24" t="s">
        <v>288</v>
      </c>
    </row>
    <row r="119" spans="1:7" x14ac:dyDescent="0.2">
      <c r="A119" t="s">
        <v>208</v>
      </c>
      <c r="B119" s="32" t="s">
        <v>209</v>
      </c>
      <c r="C119" s="95">
        <f>('DOE25'!L204)+('DOE25'!L222)+('DOE25'!L240)</f>
        <v>305808.41000000003</v>
      </c>
      <c r="D119" s="24" t="s">
        <v>288</v>
      </c>
      <c r="E119" s="95">
        <f>+('DOE25'!L283)+('DOE25'!L302)+('DOE25'!L321)</f>
        <v>84558.790000000008</v>
      </c>
      <c r="F119" s="24" t="s">
        <v>288</v>
      </c>
      <c r="G119" s="24" t="s">
        <v>288</v>
      </c>
    </row>
    <row r="120" spans="1:7" x14ac:dyDescent="0.2">
      <c r="A120" t="s">
        <v>210</v>
      </c>
      <c r="B120" s="32" t="s">
        <v>211</v>
      </c>
      <c r="C120" s="95">
        <f>('DOE25'!L205)+('DOE25'!L223)+('DOE25'!L241)</f>
        <v>850438.76</v>
      </c>
      <c r="D120" s="24" t="s">
        <v>288</v>
      </c>
      <c r="E120" s="95">
        <f>+('DOE25'!L284)+('DOE25'!L303)+('DOE25'!L322)</f>
        <v>46991.070000000007</v>
      </c>
      <c r="F120" s="24" t="s">
        <v>288</v>
      </c>
      <c r="G120" s="24" t="s">
        <v>288</v>
      </c>
    </row>
    <row r="121" spans="1:7" x14ac:dyDescent="0.2">
      <c r="A121" t="s">
        <v>212</v>
      </c>
      <c r="B121" s="32" t="s">
        <v>213</v>
      </c>
      <c r="C121" s="95">
        <f>('DOE25'!L206)+('DOE25'!L224)+('DOE25'!L242)</f>
        <v>1020714.95</v>
      </c>
      <c r="D121" s="24" t="s">
        <v>288</v>
      </c>
      <c r="E121" s="95">
        <f>+('DOE25'!L285)+('DOE25'!L304)+('DOE25'!L323)</f>
        <v>0</v>
      </c>
      <c r="F121" s="24" t="s">
        <v>288</v>
      </c>
      <c r="G121" s="24" t="s">
        <v>288</v>
      </c>
    </row>
    <row r="122" spans="1:7" x14ac:dyDescent="0.2">
      <c r="A122" t="s">
        <v>214</v>
      </c>
      <c r="B122" s="32" t="s">
        <v>215</v>
      </c>
      <c r="C122" s="95">
        <f>('DOE25'!L207)+('DOE25'!L225)+('DOE25'!L243)</f>
        <v>291988.88</v>
      </c>
      <c r="D122" s="24" t="s">
        <v>288</v>
      </c>
      <c r="E122" s="95">
        <f>+('DOE25'!L286)+('DOE25'!L305)+('DOE25'!L324)</f>
        <v>0</v>
      </c>
      <c r="F122" s="24" t="s">
        <v>288</v>
      </c>
      <c r="G122" s="24" t="s">
        <v>288</v>
      </c>
    </row>
    <row r="123" spans="1:7" x14ac:dyDescent="0.2">
      <c r="A123" t="s">
        <v>216</v>
      </c>
      <c r="B123" s="32" t="s">
        <v>217</v>
      </c>
      <c r="C123" s="95">
        <f>('DOE25'!L208)+('DOE25'!L226)+('DOE25'!L244)</f>
        <v>1477947.22</v>
      </c>
      <c r="D123" s="24" t="s">
        <v>288</v>
      </c>
      <c r="E123" s="95">
        <f>+('DOE25'!L287)+('DOE25'!L306)+('DOE25'!L325)</f>
        <v>0</v>
      </c>
      <c r="F123" s="24" t="s">
        <v>288</v>
      </c>
      <c r="G123" s="24" t="s">
        <v>288</v>
      </c>
    </row>
    <row r="124" spans="1:7" x14ac:dyDescent="0.2">
      <c r="A124" t="s">
        <v>218</v>
      </c>
      <c r="B124" s="32" t="s">
        <v>219</v>
      </c>
      <c r="C124" s="95">
        <f>('DOE25'!L209)+('DOE25'!L227)+('DOE25'!L245+'DOE25'!L255)</f>
        <v>338010</v>
      </c>
      <c r="D124" s="24" t="s">
        <v>288</v>
      </c>
      <c r="E124" s="95">
        <f>+('DOE25'!L288)+('DOE25'!L307)+('DOE25'!L326)</f>
        <v>4223.74</v>
      </c>
      <c r="F124" s="24" t="s">
        <v>288</v>
      </c>
      <c r="G124" s="24" t="s">
        <v>288</v>
      </c>
    </row>
    <row r="125" spans="1:7" x14ac:dyDescent="0.2">
      <c r="A125" t="s">
        <v>220</v>
      </c>
      <c r="B125" s="32" t="s">
        <v>221</v>
      </c>
      <c r="C125" s="95">
        <f>('DOE25'!L210)+('DOE25'!L228)+('DOE25'!L246)</f>
        <v>4692.17</v>
      </c>
      <c r="D125" s="24" t="s">
        <v>288</v>
      </c>
      <c r="E125" s="95">
        <f>+('DOE25'!L289)+('DOE25'!L308)+('DOE25'!L327)</f>
        <v>395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650722.31999999995</v>
      </c>
      <c r="E127" s="24" t="s">
        <v>288</v>
      </c>
      <c r="F127" s="24" t="s">
        <v>288</v>
      </c>
      <c r="G127" s="24" t="s">
        <v>288</v>
      </c>
    </row>
    <row r="128" spans="1:7" ht="12.75" thickTop="1" thickBot="1" x14ac:dyDescent="0.25">
      <c r="A128" s="33" t="s">
        <v>226</v>
      </c>
      <c r="C128" s="86">
        <f>SUM(C118:C127)</f>
        <v>5997398.4899999993</v>
      </c>
      <c r="D128" s="86">
        <f>SUM(D118:D127)</f>
        <v>650722.31999999995</v>
      </c>
      <c r="E128" s="86">
        <f>SUM(E118:E127)</f>
        <v>404850.04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225780.67</v>
      </c>
      <c r="D130" s="24" t="s">
        <v>288</v>
      </c>
      <c r="E130" s="129">
        <f>'DOE25'!L337</f>
        <v>124412.04</v>
      </c>
      <c r="F130" s="129">
        <f>SUM('DOE25'!L375:'DOE25'!L381)</f>
        <v>0</v>
      </c>
      <c r="G130" s="24" t="s">
        <v>288</v>
      </c>
    </row>
    <row r="131" spans="1:7" x14ac:dyDescent="0.2">
      <c r="A131" t="s">
        <v>229</v>
      </c>
      <c r="B131" s="32">
        <v>5110</v>
      </c>
      <c r="C131" s="95">
        <f>'DOE25'!L261</f>
        <v>21248</v>
      </c>
      <c r="D131" s="24" t="s">
        <v>288</v>
      </c>
      <c r="E131" s="129">
        <f>'DOE25'!L342</f>
        <v>0</v>
      </c>
      <c r="F131" s="24" t="s">
        <v>288</v>
      </c>
      <c r="G131" s="24" t="s">
        <v>288</v>
      </c>
    </row>
    <row r="132" spans="1:7" x14ac:dyDescent="0.2">
      <c r="A132" t="s">
        <v>230</v>
      </c>
      <c r="B132" s="32">
        <v>5120</v>
      </c>
      <c r="C132" s="95">
        <f>'DOE25'!L262</f>
        <v>8015.14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255043.81000000003</v>
      </c>
      <c r="D144" s="141">
        <f>SUM(D130:D143)</f>
        <v>0</v>
      </c>
      <c r="E144" s="141">
        <f>SUM(E130:E143)</f>
        <v>124412.04</v>
      </c>
      <c r="F144" s="141">
        <f>SUM(F130:F143)</f>
        <v>0</v>
      </c>
      <c r="G144" s="141">
        <f>SUM(G130:G143)</f>
        <v>0</v>
      </c>
    </row>
    <row r="145" spans="1:9" ht="12.75" thickTop="1" thickBot="1" x14ac:dyDescent="0.25">
      <c r="A145" s="33" t="s">
        <v>244</v>
      </c>
      <c r="C145" s="86">
        <f>(C115+C128+C144)</f>
        <v>18029481.77</v>
      </c>
      <c r="D145" s="86">
        <f>(D115+D128+D144)</f>
        <v>650722.31999999995</v>
      </c>
      <c r="E145" s="86">
        <f>(E115+E128+E144)</f>
        <v>2235817.59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0</v>
      </c>
      <c r="D151" s="153">
        <f>'DOE25'!H491</f>
        <v>0</v>
      </c>
      <c r="E151" s="153">
        <f>'DOE25'!I491</f>
        <v>0</v>
      </c>
      <c r="F151" s="153">
        <f>'DOE25'!J491</f>
        <v>0</v>
      </c>
      <c r="G151" s="24" t="s">
        <v>288</v>
      </c>
    </row>
    <row r="152" spans="1:9" x14ac:dyDescent="0.2">
      <c r="A152" s="136" t="s">
        <v>28</v>
      </c>
      <c r="B152" s="152" t="str">
        <f>'DOE25'!F492</f>
        <v>01/10</v>
      </c>
      <c r="C152" s="152">
        <f>'DOE25'!G492</f>
        <v>0</v>
      </c>
      <c r="D152" s="152">
        <f>'DOE25'!H492</f>
        <v>0</v>
      </c>
      <c r="E152" s="152">
        <f>'DOE25'!I492</f>
        <v>0</v>
      </c>
      <c r="F152" s="152">
        <f>'DOE25'!J492</f>
        <v>0</v>
      </c>
      <c r="G152" s="24" t="s">
        <v>288</v>
      </c>
    </row>
    <row r="153" spans="1:9" x14ac:dyDescent="0.2">
      <c r="A153" s="136" t="s">
        <v>29</v>
      </c>
      <c r="B153" s="152" t="str">
        <f>'DOE25'!F493</f>
        <v>8/25</v>
      </c>
      <c r="C153" s="152">
        <f>'DOE25'!G493</f>
        <v>0</v>
      </c>
      <c r="D153" s="152">
        <f>'DOE25'!H493</f>
        <v>0</v>
      </c>
      <c r="E153" s="152">
        <f>'DOE25'!I493</f>
        <v>0</v>
      </c>
      <c r="F153" s="152">
        <f>'DOE25'!J493</f>
        <v>0</v>
      </c>
      <c r="G153" s="24" t="s">
        <v>288</v>
      </c>
    </row>
    <row r="154" spans="1:9" x14ac:dyDescent="0.2">
      <c r="A154" s="136" t="s">
        <v>30</v>
      </c>
      <c r="B154" s="137">
        <f>'DOE25'!F494</f>
        <v>357204.63</v>
      </c>
      <c r="C154" s="137">
        <f>'DOE25'!G494</f>
        <v>0</v>
      </c>
      <c r="D154" s="137">
        <f>'DOE25'!H494</f>
        <v>0</v>
      </c>
      <c r="E154" s="137">
        <f>'DOE25'!I494</f>
        <v>0</v>
      </c>
      <c r="F154" s="137">
        <f>'DOE25'!J494</f>
        <v>0</v>
      </c>
      <c r="G154" s="24" t="s">
        <v>288</v>
      </c>
    </row>
    <row r="155" spans="1:9" x14ac:dyDescent="0.2">
      <c r="A155" s="136" t="s">
        <v>31</v>
      </c>
      <c r="B155" s="137">
        <f>'DOE25'!F495</f>
        <v>2.85</v>
      </c>
      <c r="C155" s="137">
        <f>'DOE25'!G495</f>
        <v>0</v>
      </c>
      <c r="D155" s="137">
        <f>'DOE25'!H495</f>
        <v>0</v>
      </c>
      <c r="E155" s="137">
        <f>'DOE25'!I495</f>
        <v>0</v>
      </c>
      <c r="F155" s="137">
        <f>'DOE25'!J495</f>
        <v>0</v>
      </c>
      <c r="G155" s="24" t="s">
        <v>288</v>
      </c>
    </row>
    <row r="156" spans="1:9" x14ac:dyDescent="0.2">
      <c r="A156" s="22" t="s">
        <v>32</v>
      </c>
      <c r="B156" s="137">
        <f>'DOE25'!F496</f>
        <v>173817.33</v>
      </c>
      <c r="C156" s="137">
        <f>'DOE25'!G496</f>
        <v>0</v>
      </c>
      <c r="D156" s="137">
        <f>'DOE25'!H496</f>
        <v>0</v>
      </c>
      <c r="E156" s="137">
        <f>'DOE25'!I496</f>
        <v>0</v>
      </c>
      <c r="F156" s="137">
        <f>'DOE25'!J496</f>
        <v>0</v>
      </c>
      <c r="G156" s="138">
        <f>SUM(B156:F156)</f>
        <v>173817.33</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21248</v>
      </c>
      <c r="C158" s="137">
        <f>'DOE25'!G498</f>
        <v>0</v>
      </c>
      <c r="D158" s="137">
        <f>'DOE25'!H498</f>
        <v>0</v>
      </c>
      <c r="E158" s="137">
        <f>'DOE25'!I498</f>
        <v>0</v>
      </c>
      <c r="F158" s="137">
        <f>'DOE25'!J498</f>
        <v>0</v>
      </c>
      <c r="G158" s="138">
        <f t="shared" si="0"/>
        <v>21248</v>
      </c>
    </row>
    <row r="159" spans="1:9" x14ac:dyDescent="0.2">
      <c r="A159" s="22" t="s">
        <v>35</v>
      </c>
      <c r="B159" s="137">
        <f>'DOE25'!F499</f>
        <v>152569.32999999999</v>
      </c>
      <c r="C159" s="137">
        <f>'DOE25'!G499</f>
        <v>0</v>
      </c>
      <c r="D159" s="137">
        <f>'DOE25'!H499</f>
        <v>0</v>
      </c>
      <c r="E159" s="137">
        <f>'DOE25'!I499</f>
        <v>0</v>
      </c>
      <c r="F159" s="137">
        <f>'DOE25'!J499</f>
        <v>0</v>
      </c>
      <c r="G159" s="138">
        <f t="shared" si="0"/>
        <v>152569.32999999999</v>
      </c>
    </row>
    <row r="160" spans="1:9" x14ac:dyDescent="0.2">
      <c r="A160" s="22" t="s">
        <v>36</v>
      </c>
      <c r="B160" s="137">
        <f>'DOE25'!F500</f>
        <v>22189.55</v>
      </c>
      <c r="C160" s="137">
        <f>'DOE25'!G500</f>
        <v>0</v>
      </c>
      <c r="D160" s="137">
        <f>'DOE25'!H500</f>
        <v>0</v>
      </c>
      <c r="E160" s="137">
        <f>'DOE25'!I500</f>
        <v>0</v>
      </c>
      <c r="F160" s="137">
        <f>'DOE25'!J500</f>
        <v>0</v>
      </c>
      <c r="G160" s="138">
        <f t="shared" si="0"/>
        <v>22189.55</v>
      </c>
    </row>
    <row r="161" spans="1:7" x14ac:dyDescent="0.2">
      <c r="A161" s="22" t="s">
        <v>37</v>
      </c>
      <c r="B161" s="137">
        <f>'DOE25'!F501</f>
        <v>174758.87999999998</v>
      </c>
      <c r="C161" s="137">
        <f>'DOE25'!G501</f>
        <v>0</v>
      </c>
      <c r="D161" s="137">
        <f>'DOE25'!H501</f>
        <v>0</v>
      </c>
      <c r="E161" s="137">
        <f>'DOE25'!I501</f>
        <v>0</v>
      </c>
      <c r="F161" s="137">
        <f>'DOE25'!J501</f>
        <v>0</v>
      </c>
      <c r="G161" s="138">
        <f t="shared" si="0"/>
        <v>174758.87999999998</v>
      </c>
    </row>
    <row r="162" spans="1:7" x14ac:dyDescent="0.2">
      <c r="A162" s="22" t="s">
        <v>38</v>
      </c>
      <c r="B162" s="137">
        <f>'DOE25'!F502</f>
        <v>130325.33</v>
      </c>
      <c r="C162" s="137">
        <f>'DOE25'!G502</f>
        <v>0</v>
      </c>
      <c r="D162" s="137">
        <f>'DOE25'!H502</f>
        <v>0</v>
      </c>
      <c r="E162" s="137">
        <f>'DOE25'!I502</f>
        <v>0</v>
      </c>
      <c r="F162" s="137">
        <f>'DOE25'!J502</f>
        <v>0</v>
      </c>
      <c r="G162" s="138">
        <f t="shared" si="0"/>
        <v>130325.33</v>
      </c>
    </row>
    <row r="163" spans="1:7" x14ac:dyDescent="0.2">
      <c r="A163" s="22" t="s">
        <v>39</v>
      </c>
      <c r="B163" s="137">
        <f>'DOE25'!F503</f>
        <v>15311.26</v>
      </c>
      <c r="C163" s="137">
        <f>'DOE25'!G503</f>
        <v>0</v>
      </c>
      <c r="D163" s="137">
        <f>'DOE25'!H503</f>
        <v>0</v>
      </c>
      <c r="E163" s="137">
        <f>'DOE25'!I503</f>
        <v>0</v>
      </c>
      <c r="F163" s="137">
        <f>'DOE25'!J503</f>
        <v>0</v>
      </c>
      <c r="G163" s="138">
        <f t="shared" si="0"/>
        <v>15311.26</v>
      </c>
    </row>
    <row r="164" spans="1:7" x14ac:dyDescent="0.2">
      <c r="A164" s="22" t="s">
        <v>246</v>
      </c>
      <c r="B164" s="137">
        <f>'DOE25'!F504</f>
        <v>145636.59</v>
      </c>
      <c r="C164" s="137">
        <f>'DOE25'!G504</f>
        <v>0</v>
      </c>
      <c r="D164" s="137">
        <f>'DOE25'!H504</f>
        <v>0</v>
      </c>
      <c r="E164" s="137">
        <f>'DOE25'!I504</f>
        <v>0</v>
      </c>
      <c r="F164" s="137">
        <f>'DOE25'!J504</f>
        <v>0</v>
      </c>
      <c r="G164" s="138">
        <f t="shared" si="0"/>
        <v>145636.59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4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Berlin</v>
      </c>
    </row>
    <row r="3" spans="1:4" x14ac:dyDescent="0.2">
      <c r="B3" s="188" t="s">
        <v>1587</v>
      </c>
    </row>
    <row r="4" spans="1:4" x14ac:dyDescent="0.2">
      <c r="B4" t="s">
        <v>61</v>
      </c>
      <c r="C4" s="179">
        <f>IF('DOE25'!F666+'DOE25'!F671=0,0,ROUND('DOE25'!F673,0))</f>
        <v>16829</v>
      </c>
    </row>
    <row r="5" spans="1:4" x14ac:dyDescent="0.2">
      <c r="B5" t="s">
        <v>700</v>
      </c>
      <c r="C5" s="179">
        <f>IF('DOE25'!G666+'DOE25'!G671=0,0,ROUND('DOE25'!G673,0))</f>
        <v>16575</v>
      </c>
    </row>
    <row r="6" spans="1:4" x14ac:dyDescent="0.2">
      <c r="B6" t="s">
        <v>62</v>
      </c>
      <c r="C6" s="179">
        <f>IF('DOE25'!H666+'DOE25'!H671=0,0,ROUND('DOE25'!H673,0))</f>
        <v>17658</v>
      </c>
    </row>
    <row r="7" spans="1:4" x14ac:dyDescent="0.2">
      <c r="B7" t="s">
        <v>701</v>
      </c>
      <c r="C7" s="179">
        <f>IF('DOE25'!I666+'DOE25'!I671=0,0,ROUND('DOE25'!I673,0))</f>
        <v>17051</v>
      </c>
    </row>
    <row r="9" spans="1:4" x14ac:dyDescent="0.2">
      <c r="A9" s="187" t="s">
        <v>94</v>
      </c>
      <c r="B9" s="188" t="s">
        <v>1588</v>
      </c>
      <c r="C9" s="181" t="s">
        <v>720</v>
      </c>
      <c r="D9" s="181" t="s">
        <v>721</v>
      </c>
    </row>
    <row r="10" spans="1:4" x14ac:dyDescent="0.2">
      <c r="A10">
        <v>1100</v>
      </c>
      <c r="B10" t="s">
        <v>702</v>
      </c>
      <c r="C10" s="179">
        <f>ROUND('DOE25'!L198+'DOE25'!L216+'DOE25'!L234+'DOE25'!L277+'DOE25'!L296+'DOE25'!L315,0)</f>
        <v>7509286</v>
      </c>
      <c r="D10" s="182">
        <f>ROUND((C10/$C$28)*100,1)</f>
        <v>36.799999999999997</v>
      </c>
    </row>
    <row r="11" spans="1:4" x14ac:dyDescent="0.2">
      <c r="A11">
        <v>1200</v>
      </c>
      <c r="B11" t="s">
        <v>703</v>
      </c>
      <c r="C11" s="179">
        <f>ROUND('DOE25'!L199+'DOE25'!L217+'DOE25'!L235+'DOE25'!L278+'DOE25'!L297+'DOE25'!L316,0)</f>
        <v>4429650</v>
      </c>
      <c r="D11" s="182">
        <f>ROUND((C11/$C$28)*100,1)</f>
        <v>21.7</v>
      </c>
    </row>
    <row r="12" spans="1:4" x14ac:dyDescent="0.2">
      <c r="A12">
        <v>1300</v>
      </c>
      <c r="B12" t="s">
        <v>704</v>
      </c>
      <c r="C12" s="179">
        <f>ROUND('DOE25'!L200+'DOE25'!L218+'DOE25'!L236+'DOE25'!L279+'DOE25'!L298+'DOE25'!L317,0)</f>
        <v>892717</v>
      </c>
      <c r="D12" s="182">
        <f>ROUND((C12/$C$28)*100,1)</f>
        <v>4.4000000000000004</v>
      </c>
    </row>
    <row r="13" spans="1:4" x14ac:dyDescent="0.2">
      <c r="A13">
        <v>1400</v>
      </c>
      <c r="B13" t="s">
        <v>705</v>
      </c>
      <c r="C13" s="179">
        <f>ROUND('DOE25'!L201+'DOE25'!L219+'DOE25'!L237+'DOE25'!L280+'DOE25'!L299+'DOE25'!L318,0)</f>
        <v>598308</v>
      </c>
      <c r="D13" s="182">
        <f>ROUND((C13/$C$28)*100,1)</f>
        <v>2.9</v>
      </c>
    </row>
    <row r="14" spans="1:4" x14ac:dyDescent="0.2">
      <c r="D14" s="182"/>
    </row>
    <row r="15" spans="1:4" x14ac:dyDescent="0.2">
      <c r="A15">
        <v>2100</v>
      </c>
      <c r="B15" t="s">
        <v>706</v>
      </c>
      <c r="C15" s="179">
        <f>ROUND('DOE25'!L203+'DOE25'!L221+'DOE25'!L239+'DOE25'!L282+'DOE25'!L301+'DOE25'!L320,0)</f>
        <v>1976480</v>
      </c>
      <c r="D15" s="182">
        <f t="shared" ref="D15:D27" si="0">ROUND((C15/$C$28)*100,1)</f>
        <v>9.6999999999999993</v>
      </c>
    </row>
    <row r="16" spans="1:4" x14ac:dyDescent="0.2">
      <c r="A16">
        <v>2200</v>
      </c>
      <c r="B16" t="s">
        <v>707</v>
      </c>
      <c r="C16" s="179">
        <f>ROUND('DOE25'!L204+'DOE25'!L222+'DOE25'!L240+'DOE25'!L283+'DOE25'!L302+'DOE25'!L321,0)</f>
        <v>390367</v>
      </c>
      <c r="D16" s="182">
        <f t="shared" si="0"/>
        <v>1.9</v>
      </c>
    </row>
    <row r="17" spans="1:4" x14ac:dyDescent="0.2">
      <c r="A17" s="183" t="s">
        <v>723</v>
      </c>
      <c r="B17" t="s">
        <v>738</v>
      </c>
      <c r="C17" s="179">
        <f>ROUND('DOE25'!L205+'DOE25'!L210+'DOE25'!L223+'DOE25'!L228+'DOE25'!L241+'DOE25'!L246+'DOE25'!L284+'DOE25'!L289+'DOE25'!L303+'DOE25'!L308+'DOE25'!L322+'DOE25'!L327,0)</f>
        <v>902517</v>
      </c>
      <c r="D17" s="182">
        <f t="shared" si="0"/>
        <v>4.4000000000000004</v>
      </c>
    </row>
    <row r="18" spans="1:4" x14ac:dyDescent="0.2">
      <c r="A18">
        <v>2400</v>
      </c>
      <c r="B18" t="s">
        <v>711</v>
      </c>
      <c r="C18" s="179">
        <f>ROUND('DOE25'!L206+'DOE25'!L224+'DOE25'!L242+'DOE25'!L285+'DOE25'!L304+'DOE25'!L323,0)</f>
        <v>1020715</v>
      </c>
      <c r="D18" s="182">
        <f t="shared" si="0"/>
        <v>5</v>
      </c>
    </row>
    <row r="19" spans="1:4" x14ac:dyDescent="0.2">
      <c r="A19">
        <v>2500</v>
      </c>
      <c r="B19" t="s">
        <v>708</v>
      </c>
      <c r="C19" s="179">
        <f>ROUND('DOE25'!L207+'DOE25'!L225+'DOE25'!L243+'DOE25'!L286+'DOE25'!L305+'DOE25'!L324,0)</f>
        <v>291989</v>
      </c>
      <c r="D19" s="182">
        <f t="shared" si="0"/>
        <v>1.4</v>
      </c>
    </row>
    <row r="20" spans="1:4" x14ac:dyDescent="0.2">
      <c r="A20">
        <v>2600</v>
      </c>
      <c r="B20" t="s">
        <v>709</v>
      </c>
      <c r="C20" s="179">
        <f>ROUND('DOE25'!L208+'DOE25'!L226+'DOE25'!L244+'DOE25'!L287+'DOE25'!L306+'DOE25'!L325,0)</f>
        <v>1477947</v>
      </c>
      <c r="D20" s="182">
        <f t="shared" si="0"/>
        <v>7.2</v>
      </c>
    </row>
    <row r="21" spans="1:4" x14ac:dyDescent="0.2">
      <c r="A21">
        <v>2700</v>
      </c>
      <c r="B21" t="s">
        <v>710</v>
      </c>
      <c r="C21" s="179">
        <f>ROUND('DOE25'!L209+'DOE25'!L227+'DOE25'!L245+'DOE25'!L288+'DOE25'!L307+'DOE25'!L326,0)</f>
        <v>342234</v>
      </c>
      <c r="D21" s="182">
        <f t="shared" si="0"/>
        <v>1.7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53634</v>
      </c>
      <c r="D24" s="182">
        <f t="shared" si="0"/>
        <v>0.3</v>
      </c>
    </row>
    <row r="25" spans="1:4" x14ac:dyDescent="0.2">
      <c r="A25">
        <v>5120</v>
      </c>
      <c r="B25" t="s">
        <v>716</v>
      </c>
      <c r="C25" s="179">
        <f>ROUND('DOE25'!L262+'DOE25'!L343,0)</f>
        <v>8015</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528097.34</v>
      </c>
      <c r="D27" s="182">
        <f t="shared" si="0"/>
        <v>2.6</v>
      </c>
    </row>
    <row r="28" spans="1:4" x14ac:dyDescent="0.2">
      <c r="B28" s="187" t="s">
        <v>719</v>
      </c>
      <c r="C28" s="180">
        <f>SUM(C10:C27)</f>
        <v>20421956.34</v>
      </c>
      <c r="D28" s="184">
        <f>ROUND(SUM(D10:D27),0)</f>
        <v>100</v>
      </c>
    </row>
    <row r="29" spans="1:4" x14ac:dyDescent="0.2">
      <c r="A29">
        <v>4000</v>
      </c>
      <c r="B29" t="s">
        <v>724</v>
      </c>
      <c r="C29" s="179">
        <f>ROUND('DOE25'!L256+'DOE25'!L337+'DOE25'!L375+'DOE25'!L376+'DOE25'!L377+'DOE25'!L378+'DOE25'!L379+'DOE25'!L380+'DOE25'!L381,0)</f>
        <v>350193</v>
      </c>
    </row>
    <row r="30" spans="1:4" x14ac:dyDescent="0.2">
      <c r="B30" s="187" t="s">
        <v>725</v>
      </c>
      <c r="C30" s="180">
        <f>SUM(C28:C29)</f>
        <v>20772149.34</v>
      </c>
    </row>
    <row r="31" spans="1:4" x14ac:dyDescent="0.2">
      <c r="B31" s="33"/>
      <c r="C31" s="180"/>
    </row>
    <row r="32" spans="1:4" x14ac:dyDescent="0.2">
      <c r="A32">
        <v>5100</v>
      </c>
      <c r="B32" s="33" t="s">
        <v>726</v>
      </c>
      <c r="C32" s="180">
        <f>ROUND('DOE25'!L261+'DOE25'!L342,0)</f>
        <v>21248</v>
      </c>
    </row>
    <row r="34" spans="1:4" x14ac:dyDescent="0.2">
      <c r="A34" s="187" t="s">
        <v>94</v>
      </c>
      <c r="B34" s="188" t="s">
        <v>1589</v>
      </c>
      <c r="C34" s="181" t="s">
        <v>720</v>
      </c>
      <c r="D34" s="181" t="s">
        <v>721</v>
      </c>
    </row>
    <row r="35" spans="1:4" x14ac:dyDescent="0.2">
      <c r="A35">
        <v>1100</v>
      </c>
      <c r="B35" s="185" t="s">
        <v>727</v>
      </c>
      <c r="C35" s="179">
        <f>ROUND('DOE25'!F60+'DOE25'!G60+'DOE25'!H60+'DOE25'!I60+'DOE25'!J60,0)</f>
        <v>5235815</v>
      </c>
      <c r="D35" s="182">
        <f t="shared" ref="D35:D40" si="1">ROUND((C35/$C$41)*100,1)</f>
        <v>25.2</v>
      </c>
    </row>
    <row r="36" spans="1:4" x14ac:dyDescent="0.2">
      <c r="B36" s="185" t="s">
        <v>739</v>
      </c>
      <c r="C36" s="179">
        <f>SUM('DOE25'!F112:J112)-SUM('DOE25'!G97:G110)+('DOE25'!F175+'DOE25'!F176+'DOE25'!I175+'DOE25'!I176)-C35</f>
        <v>1614325.6099999994</v>
      </c>
      <c r="D36" s="182">
        <f t="shared" si="1"/>
        <v>7.8</v>
      </c>
    </row>
    <row r="37" spans="1:4" x14ac:dyDescent="0.2">
      <c r="A37" s="183" t="s">
        <v>835</v>
      </c>
      <c r="B37" s="185" t="s">
        <v>728</v>
      </c>
      <c r="C37" s="179">
        <f>ROUND('DOE25'!F117+'DOE25'!F118,0)</f>
        <v>11114925</v>
      </c>
      <c r="D37" s="182">
        <f t="shared" si="1"/>
        <v>53.5</v>
      </c>
    </row>
    <row r="38" spans="1:4" x14ac:dyDescent="0.2">
      <c r="A38" s="183" t="s">
        <v>734</v>
      </c>
      <c r="B38" s="185" t="s">
        <v>729</v>
      </c>
      <c r="C38" s="179">
        <f>ROUND(SUM('DOE25'!F140:J140)-SUM('DOE25'!F117:F119),0)</f>
        <v>213283</v>
      </c>
      <c r="D38" s="182">
        <f t="shared" si="1"/>
        <v>1</v>
      </c>
    </row>
    <row r="39" spans="1:4" x14ac:dyDescent="0.2">
      <c r="A39">
        <v>4000</v>
      </c>
      <c r="B39" s="185" t="s">
        <v>730</v>
      </c>
      <c r="C39" s="179">
        <f>ROUND('DOE25'!F170+'DOE25'!G170+'DOE25'!H170+'DOE25'!I170,0)</f>
        <v>2588034</v>
      </c>
      <c r="D39" s="182">
        <f t="shared" si="1"/>
        <v>12.5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20766382.609999999</v>
      </c>
      <c r="D41" s="184">
        <f>SUM(D35:D40)</f>
        <v>100</v>
      </c>
    </row>
    <row r="42" spans="1:4" x14ac:dyDescent="0.2">
      <c r="A42" s="183" t="s">
        <v>737</v>
      </c>
      <c r="B42" s="185" t="s">
        <v>733</v>
      </c>
      <c r="C42" s="179">
        <f>ROUND('DOE25'!F174+'DOE25'!I174+'DOE25'!F177+'DOE25'!I177,0)</f>
        <v>21248</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Berlin</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19</v>
      </c>
      <c r="B4" s="219">
        <v>6</v>
      </c>
      <c r="C4" s="355" t="s">
        <v>1645</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41</vt:i4>
      </vt:variant>
    </vt:vector>
  </HeadingPairs>
  <TitlesOfParts>
    <vt:vector size="50"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2020-11-25T21:43:38Z</cp:lastPrinted>
  <dcterms:created xsi:type="dcterms:W3CDTF">1997-12-04T19:04:30Z</dcterms:created>
  <dcterms:modified xsi:type="dcterms:W3CDTF">2020-12-11T14:39:21Z</dcterms:modified>
</cp:coreProperties>
</file>